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ogistics\STOCK UPDATE REPORT - BI-WEEKLY\2026 BI-WEEKLY STOCK REPORT\"/>
    </mc:Choice>
  </mc:AlternateContent>
  <bookViews>
    <workbookView xWindow="0" yWindow="0" windowWidth="20490" windowHeight="7650" firstSheet="1" activeTab="1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AMS'!$A$1:$R$48</definedName>
    <definedName name="_xlnm.Print_Area" localSheetId="4">'NDoH Outstanding Orders'!$B$335:$M$380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4" i="2" l="1"/>
  <c r="Q14" i="2" l="1"/>
  <c r="Q13" i="2"/>
  <c r="Q10" i="2"/>
  <c r="AA49" i="2" l="1"/>
  <c r="AA45" i="2"/>
  <c r="AA48" i="2"/>
  <c r="AA46" i="2"/>
  <c r="Y50" i="2"/>
  <c r="Y49" i="2"/>
  <c r="Z46" i="2"/>
  <c r="Z47" i="2"/>
  <c r="Z48" i="2"/>
  <c r="Z45" i="2"/>
  <c r="G51" i="2" l="1"/>
  <c r="F50" i="2"/>
  <c r="E50" i="2"/>
  <c r="D50" i="2"/>
  <c r="C50" i="2"/>
  <c r="AC41" i="2"/>
  <c r="AC40" i="2"/>
  <c r="M10" i="8"/>
  <c r="T23" i="2"/>
  <c r="T22" i="2"/>
  <c r="F77" i="14" l="1"/>
  <c r="E77" i="14"/>
  <c r="H20" i="2" l="1"/>
  <c r="B5" i="2"/>
  <c r="H7" i="2" l="1"/>
  <c r="E7" i="2"/>
  <c r="D7" i="2"/>
  <c r="C7" i="2"/>
  <c r="B7" i="2"/>
  <c r="H6" i="2"/>
  <c r="F6" i="2"/>
  <c r="E6" i="2"/>
  <c r="D6" i="2"/>
  <c r="C6" i="2"/>
  <c r="B6" i="2"/>
  <c r="F9" i="2"/>
  <c r="E9" i="2"/>
  <c r="C9" i="2"/>
  <c r="B9" i="2"/>
  <c r="H9" i="2"/>
  <c r="H8" i="2"/>
  <c r="B8" i="2"/>
  <c r="D8" i="2"/>
  <c r="AL248" i="14"/>
  <c r="AL251" i="14"/>
  <c r="E138" i="14" l="1"/>
  <c r="AM123" i="14"/>
  <c r="AA123" i="14"/>
  <c r="H123" i="14"/>
  <c r="G123" i="14"/>
  <c r="F123" i="14"/>
  <c r="J123" i="14" s="1"/>
  <c r="E123" i="14"/>
  <c r="AK77" i="14" l="1"/>
  <c r="AJ77" i="14"/>
  <c r="AI77" i="14"/>
  <c r="AH77" i="14"/>
  <c r="AG77" i="14"/>
  <c r="AF77" i="14"/>
  <c r="AE77" i="14"/>
  <c r="AD77" i="14"/>
  <c r="AC77" i="14"/>
  <c r="AB77" i="14"/>
  <c r="Z77" i="14"/>
  <c r="Y77" i="14"/>
  <c r="X77" i="14"/>
  <c r="W77" i="14"/>
  <c r="V77" i="14"/>
  <c r="U77" i="14"/>
  <c r="S77" i="14"/>
  <c r="R77" i="14"/>
  <c r="I26" i="8"/>
  <c r="H26" i="8"/>
  <c r="G26" i="8"/>
  <c r="C26" i="8"/>
  <c r="J24" i="8"/>
  <c r="J26" i="8" s="1"/>
  <c r="G24" i="8"/>
  <c r="F24" i="8"/>
  <c r="F26" i="8" s="1"/>
  <c r="E24" i="8"/>
  <c r="E26" i="8" s="1"/>
  <c r="C24" i="8"/>
  <c r="B24" i="8"/>
  <c r="B26" i="8" s="1"/>
  <c r="D22" i="8"/>
  <c r="D24" i="8" s="1"/>
  <c r="D26" i="8" s="1"/>
  <c r="F21" i="8"/>
  <c r="B19" i="8"/>
  <c r="C40" i="2"/>
  <c r="H41" i="2"/>
  <c r="G29" i="2"/>
  <c r="G35" i="2"/>
  <c r="G33" i="2"/>
  <c r="H32" i="2"/>
  <c r="H34" i="2" s="1"/>
  <c r="H36" i="2" s="1"/>
  <c r="F32" i="2"/>
  <c r="E32" i="2"/>
  <c r="D32" i="2"/>
  <c r="D34" i="2" s="1"/>
  <c r="D36" i="2" s="1"/>
  <c r="C32" i="2"/>
  <c r="C34" i="2" s="1"/>
  <c r="C36" i="2" s="1"/>
  <c r="B32" i="2"/>
  <c r="H31" i="2"/>
  <c r="F31" i="2"/>
  <c r="E31" i="2"/>
  <c r="D31" i="2"/>
  <c r="C31" i="2"/>
  <c r="G31" i="2" s="1"/>
  <c r="B31" i="2"/>
  <c r="H30" i="2"/>
  <c r="F30" i="2"/>
  <c r="F34" i="2" s="1"/>
  <c r="F36" i="2" s="1"/>
  <c r="E30" i="2"/>
  <c r="E34" i="2" s="1"/>
  <c r="E36" i="2" s="1"/>
  <c r="D30" i="2"/>
  <c r="C30" i="2"/>
  <c r="G30" i="2" s="1"/>
  <c r="B30" i="2"/>
  <c r="B34" i="2" s="1"/>
  <c r="B36" i="2" s="1"/>
  <c r="G34" i="2" l="1"/>
  <c r="G36" i="2" s="1"/>
  <c r="G32" i="2"/>
  <c r="P11" i="2" l="1"/>
  <c r="AM76" i="14" l="1"/>
  <c r="AA76" i="14"/>
  <c r="K76" i="14"/>
  <c r="I76" i="14"/>
  <c r="H76" i="14"/>
  <c r="G76" i="14"/>
  <c r="F76" i="14"/>
  <c r="E76" i="14"/>
  <c r="AL66" i="14"/>
  <c r="J76" i="14" l="1"/>
  <c r="E331" i="14" l="1"/>
  <c r="H10" i="2"/>
  <c r="H319" i="14"/>
  <c r="AM331" i="14"/>
  <c r="E322" i="14"/>
  <c r="T332" i="14"/>
  <c r="S332" i="14"/>
  <c r="R332" i="14"/>
  <c r="AK332" i="14"/>
  <c r="AJ332" i="14"/>
  <c r="AI332" i="14"/>
  <c r="AH332" i="14"/>
  <c r="AG332" i="14"/>
  <c r="AF332" i="14"/>
  <c r="AE332" i="14"/>
  <c r="AD332" i="14"/>
  <c r="AC332" i="14"/>
  <c r="AB332" i="14"/>
  <c r="Z332" i="14"/>
  <c r="Y332" i="14"/>
  <c r="X332" i="14"/>
  <c r="W332" i="14"/>
  <c r="V332" i="14"/>
  <c r="AM257" i="14"/>
  <c r="AK258" i="14"/>
  <c r="AJ258" i="14"/>
  <c r="AI258" i="14"/>
  <c r="AH258" i="14"/>
  <c r="AG258" i="14"/>
  <c r="AF258" i="14"/>
  <c r="AE258" i="14"/>
  <c r="AD258" i="14"/>
  <c r="AC258" i="14"/>
  <c r="AB258" i="14"/>
  <c r="Z258" i="14"/>
  <c r="Y258" i="14"/>
  <c r="X258" i="14"/>
  <c r="W258" i="14"/>
  <c r="V258" i="14"/>
  <c r="U258" i="14"/>
  <c r="T258" i="14"/>
  <c r="S258" i="14"/>
  <c r="R258" i="14"/>
  <c r="E257" i="14"/>
  <c r="AM191" i="14"/>
  <c r="AK192" i="14"/>
  <c r="AJ192" i="14"/>
  <c r="AI192" i="14"/>
  <c r="AH192" i="14"/>
  <c r="AG192" i="14"/>
  <c r="AF192" i="14"/>
  <c r="AE192" i="14"/>
  <c r="AD192" i="14"/>
  <c r="AC192" i="14"/>
  <c r="AB192" i="14"/>
  <c r="Z192" i="14"/>
  <c r="Y192" i="14"/>
  <c r="X192" i="14"/>
  <c r="W192" i="14"/>
  <c r="V192" i="14"/>
  <c r="U192" i="14"/>
  <c r="T192" i="14"/>
  <c r="S192" i="14"/>
  <c r="R192" i="14"/>
  <c r="E191" i="14"/>
  <c r="AB138" i="14"/>
  <c r="AM137" i="14"/>
  <c r="AK138" i="14"/>
  <c r="AJ138" i="14"/>
  <c r="AI138" i="14"/>
  <c r="AH138" i="14"/>
  <c r="AG138" i="14"/>
  <c r="AF138" i="14"/>
  <c r="AE138" i="14"/>
  <c r="AD138" i="14"/>
  <c r="AC138" i="14"/>
  <c r="Z138" i="14"/>
  <c r="Y138" i="14"/>
  <c r="X138" i="14"/>
  <c r="W138" i="14"/>
  <c r="V138" i="14"/>
  <c r="U138" i="14"/>
  <c r="S138" i="14"/>
  <c r="R138" i="14"/>
  <c r="E137" i="14"/>
  <c r="AM75" i="14"/>
  <c r="E75" i="14"/>
  <c r="AD25" i="8"/>
  <c r="AC25" i="8"/>
  <c r="AB25" i="8"/>
  <c r="AA25" i="8"/>
  <c r="Z25" i="8"/>
  <c r="Y25" i="8"/>
  <c r="X25" i="8"/>
  <c r="AD23" i="8"/>
  <c r="AC23" i="8"/>
  <c r="AB23" i="8"/>
  <c r="AA23" i="8"/>
  <c r="Z23" i="8"/>
  <c r="Y23" i="8"/>
  <c r="X23" i="8"/>
  <c r="AD22" i="8"/>
  <c r="AC22" i="8"/>
  <c r="AB22" i="8"/>
  <c r="AA22" i="8"/>
  <c r="Z22" i="8"/>
  <c r="Y22" i="8"/>
  <c r="X22" i="8"/>
  <c r="AD21" i="8"/>
  <c r="AC21" i="8"/>
  <c r="AB21" i="8"/>
  <c r="AA21" i="8"/>
  <c r="Z21" i="8"/>
  <c r="Y21" i="8"/>
  <c r="X21" i="8"/>
  <c r="AD20" i="8"/>
  <c r="AC20" i="8"/>
  <c r="AB20" i="8"/>
  <c r="AA20" i="8"/>
  <c r="Z20" i="8"/>
  <c r="Y20" i="8"/>
  <c r="X20" i="8"/>
  <c r="AD19" i="8"/>
  <c r="AC19" i="8"/>
  <c r="AB19" i="8"/>
  <c r="AA19" i="8"/>
  <c r="Z19" i="8"/>
  <c r="Y19" i="8"/>
  <c r="X19" i="8"/>
  <c r="T35" i="2"/>
  <c r="Z35" i="2"/>
  <c r="X35" i="2"/>
  <c r="W35" i="2"/>
  <c r="V35" i="2"/>
  <c r="U35" i="2"/>
  <c r="U34" i="2"/>
  <c r="Z33" i="2"/>
  <c r="X33" i="2"/>
  <c r="W33" i="2"/>
  <c r="V33" i="2"/>
  <c r="U33" i="2"/>
  <c r="T33" i="2"/>
  <c r="X32" i="2"/>
  <c r="W32" i="2"/>
  <c r="V32" i="2"/>
  <c r="U32" i="2"/>
  <c r="T32" i="2"/>
  <c r="Z31" i="2"/>
  <c r="X31" i="2"/>
  <c r="W31" i="2"/>
  <c r="V31" i="2"/>
  <c r="U31" i="2"/>
  <c r="T31" i="2"/>
  <c r="Z30" i="2"/>
  <c r="X30" i="2"/>
  <c r="W30" i="2"/>
  <c r="V30" i="2"/>
  <c r="U30" i="2"/>
  <c r="T30" i="2"/>
  <c r="Z29" i="2"/>
  <c r="X29" i="2"/>
  <c r="W29" i="2"/>
  <c r="V29" i="2"/>
  <c r="U29" i="2"/>
  <c r="T29" i="2"/>
  <c r="P35" i="2"/>
  <c r="Y35" i="2" s="1"/>
  <c r="L34" i="2"/>
  <c r="M34" i="2"/>
  <c r="V34" i="2" s="1"/>
  <c r="N34" i="2"/>
  <c r="W34" i="2" s="1"/>
  <c r="O34" i="2"/>
  <c r="X34" i="2" s="1"/>
  <c r="Q34" i="2"/>
  <c r="Z34" i="2" s="1"/>
  <c r="K34" i="2"/>
  <c r="K36" i="2" s="1"/>
  <c r="T36" i="2" s="1"/>
  <c r="T37" i="2" s="1"/>
  <c r="AA31" i="2" l="1"/>
  <c r="P34" i="2"/>
  <c r="Y34" i="2" s="1"/>
  <c r="T34" i="2"/>
  <c r="AA30" i="2"/>
  <c r="AA35" i="2"/>
  <c r="AA29" i="2"/>
  <c r="AA33" i="2"/>
  <c r="AA32" i="2"/>
  <c r="AA34" i="2"/>
  <c r="G85" i="10"/>
  <c r="G84" i="10"/>
  <c r="G83" i="10"/>
  <c r="G82" i="10"/>
  <c r="G81" i="10"/>
  <c r="G80" i="10"/>
  <c r="G79" i="10"/>
  <c r="G78" i="10"/>
  <c r="F76" i="10"/>
  <c r="G76" i="10" s="1"/>
  <c r="F72" i="10"/>
  <c r="F70" i="10"/>
  <c r="G37" i="10"/>
  <c r="G60" i="10"/>
  <c r="F58" i="10"/>
  <c r="F56" i="10"/>
  <c r="G57" i="10"/>
  <c r="G55" i="10"/>
  <c r="F54" i="10"/>
  <c r="G66" i="10"/>
  <c r="F64" i="10"/>
  <c r="G115" i="10"/>
  <c r="G96" i="10"/>
  <c r="F10" i="2"/>
  <c r="G11" i="2"/>
  <c r="S5" i="8"/>
  <c r="T5" i="8"/>
  <c r="S6" i="8"/>
  <c r="T6" i="8"/>
  <c r="S7" i="8"/>
  <c r="T7" i="8"/>
  <c r="U7" i="8"/>
  <c r="S8" i="8"/>
  <c r="T8" i="8"/>
  <c r="U8" i="8"/>
  <c r="S9" i="8"/>
  <c r="T9" i="8"/>
  <c r="U9" i="8"/>
  <c r="Q36" i="2" l="1"/>
  <c r="Z36" i="2" s="1"/>
  <c r="Z37" i="2" s="1"/>
  <c r="O36" i="2"/>
  <c r="X36" i="2" s="1"/>
  <c r="N36" i="2"/>
  <c r="W36" i="2" s="1"/>
  <c r="M36" i="2"/>
  <c r="V36" i="2" s="1"/>
  <c r="L36" i="2"/>
  <c r="P29" i="2"/>
  <c r="Y29" i="2" s="1"/>
  <c r="P33" i="2"/>
  <c r="Y33" i="2" s="1"/>
  <c r="P32" i="2"/>
  <c r="Y32" i="2" s="1"/>
  <c r="P31" i="2"/>
  <c r="Y31" i="2" s="1"/>
  <c r="P30" i="2"/>
  <c r="Y30" i="2" s="1"/>
  <c r="P36" i="2" l="1"/>
  <c r="Y36" i="2" s="1"/>
  <c r="U36" i="2"/>
  <c r="AA36" i="2" s="1"/>
  <c r="AA37" i="2" s="1"/>
  <c r="AM136" i="14"/>
  <c r="K136" i="14"/>
  <c r="AL116" i="14"/>
  <c r="M11" i="2" l="1"/>
  <c r="N11" i="2"/>
  <c r="O11" i="2"/>
  <c r="L11" i="2"/>
  <c r="K11" i="2"/>
  <c r="N34" i="12"/>
  <c r="N33" i="12"/>
  <c r="O33" i="12"/>
  <c r="P328" i="14"/>
  <c r="P332" i="14" s="1"/>
  <c r="Q9" i="8" s="1"/>
  <c r="Q329" i="14"/>
  <c r="L330" i="14"/>
  <c r="L133" i="14"/>
  <c r="G34" i="10"/>
  <c r="D34" i="12"/>
  <c r="I33" i="12"/>
  <c r="I34" i="12"/>
  <c r="I35" i="12"/>
  <c r="H33" i="12"/>
  <c r="G33" i="12"/>
  <c r="F33" i="12"/>
  <c r="E33" i="12"/>
  <c r="G114" i="10"/>
  <c r="G113" i="10"/>
  <c r="G112" i="10"/>
  <c r="G111" i="10"/>
  <c r="G110" i="10"/>
  <c r="G109" i="10"/>
  <c r="G108" i="10"/>
  <c r="G107" i="10"/>
  <c r="G100" i="10"/>
  <c r="G101" i="10"/>
  <c r="G99" i="10"/>
  <c r="G105" i="10"/>
  <c r="G103" i="10"/>
  <c r="G98" i="10"/>
  <c r="G95" i="10"/>
  <c r="U332" i="14" l="1"/>
  <c r="AM325" i="14"/>
  <c r="AM326" i="14"/>
  <c r="AM327" i="14"/>
  <c r="AM328" i="14"/>
  <c r="AM329" i="14"/>
  <c r="AM330" i="14"/>
  <c r="K327" i="14"/>
  <c r="M326" i="14"/>
  <c r="N325" i="14"/>
  <c r="AA324" i="14"/>
  <c r="AA323" i="14"/>
  <c r="AA322" i="14"/>
  <c r="AA321" i="14"/>
  <c r="AA320" i="14"/>
  <c r="AA319" i="14"/>
  <c r="AA318" i="14"/>
  <c r="AA317" i="14"/>
  <c r="AA316" i="14"/>
  <c r="AA315" i="14"/>
  <c r="AA314" i="14"/>
  <c r="AA313" i="14"/>
  <c r="AA312" i="14"/>
  <c r="AA311" i="14"/>
  <c r="AA310" i="14"/>
  <c r="AA309" i="14"/>
  <c r="AA308" i="14"/>
  <c r="AA307" i="14"/>
  <c r="AA306" i="14"/>
  <c r="AA305" i="14"/>
  <c r="AA304" i="14"/>
  <c r="AA303" i="14"/>
  <c r="AA302" i="14"/>
  <c r="AA301" i="14"/>
  <c r="AA300" i="14"/>
  <c r="AA299" i="14"/>
  <c r="AA298" i="14"/>
  <c r="AA297" i="14"/>
  <c r="AA296" i="14"/>
  <c r="AA295" i="14"/>
  <c r="AA294" i="14"/>
  <c r="AA293" i="14"/>
  <c r="AA292" i="14"/>
  <c r="AA291" i="14"/>
  <c r="AA290" i="14"/>
  <c r="AA289" i="14"/>
  <c r="AA288" i="14"/>
  <c r="AA287" i="14"/>
  <c r="AA286" i="14"/>
  <c r="AA285" i="14"/>
  <c r="AA284" i="14"/>
  <c r="AA283" i="14"/>
  <c r="AA282" i="14"/>
  <c r="AA281" i="14"/>
  <c r="AA280" i="14"/>
  <c r="AA279" i="14"/>
  <c r="AA278" i="14"/>
  <c r="AA277" i="14"/>
  <c r="AA276" i="14"/>
  <c r="AA275" i="14"/>
  <c r="AA274" i="14"/>
  <c r="AA273" i="14"/>
  <c r="AA272" i="14"/>
  <c r="AM254" i="14"/>
  <c r="AM255" i="14"/>
  <c r="AM256" i="14"/>
  <c r="L256" i="14"/>
  <c r="M255" i="14"/>
  <c r="N254" i="14"/>
  <c r="AM188" i="14"/>
  <c r="AM189" i="14"/>
  <c r="AM190" i="14"/>
  <c r="L190" i="14"/>
  <c r="Q189" i="14"/>
  <c r="P188" i="14"/>
  <c r="P192" i="14" s="1"/>
  <c r="Q7" i="8" s="1"/>
  <c r="K187" i="14"/>
  <c r="AL173" i="14"/>
  <c r="N186" i="14"/>
  <c r="M185" i="14"/>
  <c r="AM185" i="14"/>
  <c r="AM192" i="14" s="1"/>
  <c r="AM186" i="14"/>
  <c r="AM187" i="14"/>
  <c r="P135" i="14"/>
  <c r="P138" i="14" s="1"/>
  <c r="Q6" i="8" s="1"/>
  <c r="Q134" i="14"/>
  <c r="AM134" i="14"/>
  <c r="AM135" i="14"/>
  <c r="AM133" i="14"/>
  <c r="K132" i="14"/>
  <c r="AM132" i="14"/>
  <c r="N130" i="14"/>
  <c r="M131" i="14"/>
  <c r="AM130" i="14"/>
  <c r="AM131" i="14"/>
  <c r="L74" i="14"/>
  <c r="AM74" i="14"/>
  <c r="N73" i="14"/>
  <c r="M72" i="14"/>
  <c r="AM72" i="14"/>
  <c r="AM73" i="14"/>
  <c r="F60" i="14"/>
  <c r="F62" i="14"/>
  <c r="F64" i="14"/>
  <c r="F67" i="14"/>
  <c r="F69" i="14"/>
  <c r="F70" i="14"/>
  <c r="F71" i="14"/>
  <c r="AM316" i="14"/>
  <c r="AM317" i="14"/>
  <c r="AM318" i="14"/>
  <c r="AM319" i="14"/>
  <c r="AM320" i="14"/>
  <c r="AM321" i="14"/>
  <c r="AM322" i="14"/>
  <c r="AM323" i="14"/>
  <c r="AM324" i="14"/>
  <c r="AM315" i="14"/>
  <c r="F316" i="14"/>
  <c r="E317" i="14"/>
  <c r="F317" i="14"/>
  <c r="G317" i="14"/>
  <c r="H317" i="14"/>
  <c r="I317" i="14"/>
  <c r="K317" i="14"/>
  <c r="E318" i="14"/>
  <c r="F318" i="14"/>
  <c r="G318" i="14"/>
  <c r="H318" i="14"/>
  <c r="I318" i="14"/>
  <c r="K318" i="14"/>
  <c r="E320" i="14"/>
  <c r="F320" i="14"/>
  <c r="G320" i="14"/>
  <c r="H320" i="14"/>
  <c r="I320" i="14"/>
  <c r="K320" i="14"/>
  <c r="I321" i="14"/>
  <c r="K323" i="14"/>
  <c r="E324" i="14"/>
  <c r="F324" i="14"/>
  <c r="G324" i="14"/>
  <c r="H324" i="14"/>
  <c r="I324" i="14"/>
  <c r="K324" i="14"/>
  <c r="K315" i="14"/>
  <c r="I315" i="14"/>
  <c r="H315" i="14"/>
  <c r="G315" i="14"/>
  <c r="F315" i="14"/>
  <c r="E315" i="14"/>
  <c r="M314" i="14"/>
  <c r="AM175" i="14"/>
  <c r="AM176" i="14"/>
  <c r="AM177" i="14"/>
  <c r="AM178" i="14"/>
  <c r="AM179" i="14"/>
  <c r="AM180" i="14"/>
  <c r="AM181" i="14"/>
  <c r="AM182" i="14"/>
  <c r="AM183" i="14"/>
  <c r="AM184" i="14"/>
  <c r="F176" i="14"/>
  <c r="E177" i="14"/>
  <c r="F177" i="14"/>
  <c r="G177" i="14"/>
  <c r="H177" i="14"/>
  <c r="I177" i="14"/>
  <c r="K177" i="14"/>
  <c r="E179" i="14"/>
  <c r="F179" i="14"/>
  <c r="G179" i="14"/>
  <c r="H179" i="14"/>
  <c r="I179" i="14"/>
  <c r="K179" i="14"/>
  <c r="H180" i="14"/>
  <c r="E181" i="14"/>
  <c r="F181" i="14"/>
  <c r="G181" i="14"/>
  <c r="H181" i="14"/>
  <c r="I181" i="14"/>
  <c r="K181" i="14"/>
  <c r="I182" i="14"/>
  <c r="E183" i="14"/>
  <c r="F183" i="14"/>
  <c r="G183" i="14"/>
  <c r="H183" i="14"/>
  <c r="I183" i="14"/>
  <c r="K183" i="14"/>
  <c r="K184" i="14"/>
  <c r="K175" i="14"/>
  <c r="I175" i="14"/>
  <c r="H175" i="14"/>
  <c r="G175" i="14"/>
  <c r="F175" i="14"/>
  <c r="E175" i="14"/>
  <c r="Q253" i="14"/>
  <c r="P252" i="14"/>
  <c r="P258" i="14" s="1"/>
  <c r="Q8" i="8" s="1"/>
  <c r="AM241" i="14"/>
  <c r="AM242" i="14"/>
  <c r="AM243" i="14"/>
  <c r="AM244" i="14"/>
  <c r="AM245" i="14"/>
  <c r="AM246" i="14"/>
  <c r="AM247" i="14"/>
  <c r="AM248" i="14"/>
  <c r="AM249" i="14"/>
  <c r="AM250" i="14"/>
  <c r="AM251" i="14"/>
  <c r="AM252" i="14"/>
  <c r="AM253" i="14"/>
  <c r="AM240" i="14"/>
  <c r="F241" i="14"/>
  <c r="E242" i="14"/>
  <c r="F242" i="14"/>
  <c r="G242" i="14"/>
  <c r="H242" i="14"/>
  <c r="I242" i="14"/>
  <c r="K242" i="14"/>
  <c r="G243" i="14"/>
  <c r="E244" i="14"/>
  <c r="F244" i="14"/>
  <c r="G244" i="14"/>
  <c r="H244" i="14"/>
  <c r="I244" i="14"/>
  <c r="K244" i="14"/>
  <c r="H245" i="14"/>
  <c r="E246" i="14"/>
  <c r="F246" i="14"/>
  <c r="G246" i="14"/>
  <c r="H246" i="14"/>
  <c r="I246" i="14"/>
  <c r="K246" i="14"/>
  <c r="I247" i="14"/>
  <c r="E248" i="14"/>
  <c r="E249" i="14"/>
  <c r="F249" i="14"/>
  <c r="G249" i="14"/>
  <c r="H249" i="14"/>
  <c r="I249" i="14"/>
  <c r="K249" i="14"/>
  <c r="K250" i="14"/>
  <c r="K251" i="14"/>
  <c r="E252" i="14"/>
  <c r="F252" i="14"/>
  <c r="G252" i="14"/>
  <c r="H252" i="14"/>
  <c r="I252" i="14"/>
  <c r="K252" i="14"/>
  <c r="E253" i="14"/>
  <c r="F253" i="14"/>
  <c r="G253" i="14"/>
  <c r="H253" i="14"/>
  <c r="I253" i="14"/>
  <c r="K253" i="14"/>
  <c r="K240" i="14"/>
  <c r="I240" i="14"/>
  <c r="H240" i="14"/>
  <c r="G240" i="14"/>
  <c r="F240" i="14"/>
  <c r="E240" i="14"/>
  <c r="AM119" i="14"/>
  <c r="AM120" i="14"/>
  <c r="AM121" i="14"/>
  <c r="AM122" i="14"/>
  <c r="AM124" i="14"/>
  <c r="AM125" i="14"/>
  <c r="AM126" i="14"/>
  <c r="AM127" i="14"/>
  <c r="AM128" i="14"/>
  <c r="AM129" i="14"/>
  <c r="K129" i="14"/>
  <c r="K128" i="14"/>
  <c r="J112" i="14"/>
  <c r="J113" i="14"/>
  <c r="J114" i="14"/>
  <c r="J115" i="14"/>
  <c r="J116" i="14"/>
  <c r="J117" i="14"/>
  <c r="J118" i="14"/>
  <c r="J119" i="14"/>
  <c r="I129" i="14"/>
  <c r="I127" i="14"/>
  <c r="H126" i="14"/>
  <c r="H127" i="14"/>
  <c r="H129" i="14"/>
  <c r="H125" i="14"/>
  <c r="G124" i="14"/>
  <c r="G125" i="14"/>
  <c r="G126" i="14"/>
  <c r="G127" i="14"/>
  <c r="G129" i="14"/>
  <c r="G122" i="14"/>
  <c r="F121" i="14"/>
  <c r="F122" i="14"/>
  <c r="F124" i="14"/>
  <c r="F125" i="14"/>
  <c r="F126" i="14"/>
  <c r="F127" i="14"/>
  <c r="F129" i="14"/>
  <c r="F120" i="14"/>
  <c r="E120" i="14"/>
  <c r="E121" i="14"/>
  <c r="E122" i="14"/>
  <c r="E124" i="14"/>
  <c r="E125" i="14"/>
  <c r="E126" i="14"/>
  <c r="E127" i="14"/>
  <c r="E129" i="14"/>
  <c r="E119" i="14"/>
  <c r="AA94" i="14"/>
  <c r="AA95" i="14"/>
  <c r="AA96" i="14"/>
  <c r="AA97" i="14"/>
  <c r="AA98" i="14"/>
  <c r="AA99" i="14"/>
  <c r="AA100" i="14"/>
  <c r="AA101" i="14"/>
  <c r="AA102" i="14"/>
  <c r="AA103" i="14"/>
  <c r="AA104" i="14"/>
  <c r="AA105" i="14"/>
  <c r="AA106" i="14"/>
  <c r="AA107" i="14"/>
  <c r="AA108" i="14"/>
  <c r="AA109" i="14"/>
  <c r="AA110" i="14"/>
  <c r="AA111" i="14"/>
  <c r="AA112" i="14"/>
  <c r="AA113" i="14"/>
  <c r="AA114" i="14"/>
  <c r="AA115" i="14"/>
  <c r="AA116" i="14"/>
  <c r="AA117" i="14"/>
  <c r="AA118" i="14"/>
  <c r="AA119" i="14"/>
  <c r="AA120" i="14"/>
  <c r="AA121" i="14"/>
  <c r="AA122" i="14"/>
  <c r="AA124" i="14"/>
  <c r="AA125" i="14"/>
  <c r="AA126" i="14"/>
  <c r="AA127" i="14"/>
  <c r="AA128" i="14"/>
  <c r="AA129" i="14"/>
  <c r="AM59" i="14"/>
  <c r="AM60" i="14"/>
  <c r="AM61" i="14"/>
  <c r="AM62" i="14"/>
  <c r="AM63" i="14"/>
  <c r="AM64" i="14"/>
  <c r="AM65" i="14"/>
  <c r="AM66" i="14"/>
  <c r="AM67" i="14"/>
  <c r="AM68" i="14"/>
  <c r="AM69" i="14"/>
  <c r="AM70" i="14"/>
  <c r="AM71" i="14"/>
  <c r="AM58" i="14"/>
  <c r="Q71" i="14"/>
  <c r="P70" i="14"/>
  <c r="K60" i="14"/>
  <c r="K62" i="14"/>
  <c r="K64" i="14"/>
  <c r="K67" i="14"/>
  <c r="K68" i="14"/>
  <c r="K69" i="14"/>
  <c r="K70" i="14"/>
  <c r="K71" i="14"/>
  <c r="K58" i="14"/>
  <c r="I60" i="14"/>
  <c r="I62" i="14"/>
  <c r="I64" i="14"/>
  <c r="I65" i="14"/>
  <c r="I67" i="14"/>
  <c r="I69" i="14"/>
  <c r="I70" i="14"/>
  <c r="I71" i="14"/>
  <c r="I58" i="14"/>
  <c r="H60" i="14"/>
  <c r="H62" i="14"/>
  <c r="H63" i="14"/>
  <c r="H64" i="14"/>
  <c r="H67" i="14"/>
  <c r="H69" i="14"/>
  <c r="H70" i="14"/>
  <c r="H71" i="14"/>
  <c r="H58" i="14"/>
  <c r="G60" i="14"/>
  <c r="G61" i="14"/>
  <c r="G62" i="14"/>
  <c r="G64" i="14"/>
  <c r="G67" i="14"/>
  <c r="G69" i="14"/>
  <c r="G70" i="14"/>
  <c r="G71" i="14"/>
  <c r="G58" i="14"/>
  <c r="F59" i="14"/>
  <c r="E60" i="14"/>
  <c r="E62" i="14"/>
  <c r="E64" i="14"/>
  <c r="E66" i="14"/>
  <c r="E67" i="14"/>
  <c r="E69" i="14"/>
  <c r="E70" i="14"/>
  <c r="E71" i="14"/>
  <c r="E58" i="14"/>
  <c r="F58" i="14"/>
  <c r="AA59" i="14"/>
  <c r="AA60" i="14"/>
  <c r="AA61" i="14"/>
  <c r="AA62" i="14"/>
  <c r="AA63" i="14"/>
  <c r="AA64" i="14"/>
  <c r="AA65" i="14"/>
  <c r="AA66" i="14"/>
  <c r="AA67" i="14"/>
  <c r="AA68" i="14"/>
  <c r="AA69" i="14"/>
  <c r="AA70" i="14"/>
  <c r="AA71" i="14"/>
  <c r="AA58" i="14"/>
  <c r="AM138" i="14" l="1"/>
  <c r="J120" i="14"/>
  <c r="J122" i="14"/>
  <c r="J121" i="14"/>
  <c r="J127" i="14"/>
  <c r="J323" i="14"/>
  <c r="J320" i="14"/>
  <c r="J318" i="14"/>
  <c r="J124" i="14"/>
  <c r="J324" i="14"/>
  <c r="J322" i="14"/>
  <c r="J129" i="14"/>
  <c r="J240" i="14"/>
  <c r="J242" i="14"/>
  <c r="J180" i="14"/>
  <c r="J178" i="14"/>
  <c r="J126" i="14"/>
  <c r="J58" i="14"/>
  <c r="J128" i="14"/>
  <c r="J183" i="14"/>
  <c r="J321" i="14"/>
  <c r="J181" i="14"/>
  <c r="J64" i="14"/>
  <c r="J71" i="14"/>
  <c r="J65" i="14"/>
  <c r="J70" i="14"/>
  <c r="J69" i="14"/>
  <c r="J60" i="14"/>
  <c r="J61" i="14"/>
  <c r="J67" i="14"/>
  <c r="J62" i="14"/>
  <c r="J59" i="14"/>
  <c r="J63" i="14"/>
  <c r="J68" i="14"/>
  <c r="J243" i="14"/>
  <c r="J250" i="14"/>
  <c r="J248" i="14"/>
  <c r="J246" i="14"/>
  <c r="J253" i="14"/>
  <c r="J241" i="14"/>
  <c r="J66" i="14"/>
  <c r="J249" i="14"/>
  <c r="J244" i="14"/>
  <c r="J251" i="14"/>
  <c r="J245" i="14"/>
  <c r="J175" i="14"/>
  <c r="J184" i="14"/>
  <c r="J179" i="14"/>
  <c r="J177" i="14"/>
  <c r="J319" i="14"/>
  <c r="J317" i="14"/>
  <c r="J125" i="14"/>
  <c r="J247" i="14"/>
  <c r="J182" i="14"/>
  <c r="J176" i="14"/>
  <c r="J315" i="14"/>
  <c r="J316" i="14"/>
  <c r="J252" i="14"/>
  <c r="M24" i="8" l="1"/>
  <c r="X24" i="8" s="1"/>
  <c r="X26" i="8" s="1"/>
  <c r="O24" i="8"/>
  <c r="Z24" i="8" s="1"/>
  <c r="Z26" i="8" s="1"/>
  <c r="P24" i="8"/>
  <c r="AA24" i="8" s="1"/>
  <c r="AA26" i="8" s="1"/>
  <c r="Q24" i="8"/>
  <c r="AB24" i="8" s="1"/>
  <c r="AB26" i="8" s="1"/>
  <c r="R24" i="8"/>
  <c r="AC24" i="8" s="1"/>
  <c r="AC26" i="8" s="1"/>
  <c r="S24" i="8"/>
  <c r="T24" i="8"/>
  <c r="U24" i="8"/>
  <c r="AD24" i="8" s="1"/>
  <c r="AD26" i="8" s="1"/>
  <c r="N24" i="8"/>
  <c r="Y24" i="8" s="1"/>
  <c r="Y26" i="8" s="1"/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AL237" i="14" l="1"/>
  <c r="H12" i="2"/>
  <c r="G9" i="2"/>
  <c r="C10" i="2" l="1"/>
  <c r="B10" i="2"/>
  <c r="B12" i="2" s="1"/>
  <c r="AL159" i="14"/>
  <c r="G5" i="2" l="1"/>
  <c r="G73" i="10" l="1"/>
  <c r="F12" i="2"/>
  <c r="G89" i="10"/>
  <c r="G90" i="10"/>
  <c r="G64" i="10" l="1"/>
  <c r="G59" i="10"/>
  <c r="G49" i="10"/>
  <c r="G27" i="10" l="1"/>
  <c r="G26" i="10"/>
  <c r="G25" i="10"/>
  <c r="AL305" i="14" l="1"/>
  <c r="G7" i="2" l="1"/>
  <c r="H40" i="2" l="1"/>
  <c r="O32" i="12"/>
  <c r="O29" i="12"/>
  <c r="P15" i="12"/>
  <c r="P29" i="12"/>
  <c r="B40" i="2" l="1"/>
  <c r="O30" i="12"/>
  <c r="E42" i="12"/>
  <c r="C46" i="12" l="1"/>
  <c r="C45" i="12"/>
  <c r="C44" i="12"/>
  <c r="B42" i="12"/>
  <c r="A42" i="12"/>
  <c r="A41" i="12"/>
  <c r="D43" i="12"/>
  <c r="K18" i="16" l="1"/>
  <c r="G105" i="14" l="1"/>
  <c r="F48" i="14"/>
  <c r="AL308" i="14" l="1"/>
  <c r="AL302" i="14"/>
  <c r="AL227" i="14" l="1"/>
  <c r="AL221" i="14"/>
  <c r="Q40" i="2" l="1"/>
  <c r="K40" i="2" l="1"/>
  <c r="L40" i="2"/>
  <c r="AL301" i="14"/>
  <c r="AL115" i="14"/>
  <c r="AM116" i="14"/>
  <c r="AL51" i="14"/>
  <c r="C10" i="8"/>
  <c r="D10" i="2" l="1"/>
  <c r="E10" i="2"/>
  <c r="E12" i="2" s="1"/>
  <c r="E49" i="14" l="1"/>
  <c r="E52" i="14"/>
  <c r="AL117" i="14"/>
  <c r="AL112" i="14"/>
  <c r="B17" i="2" l="1"/>
  <c r="M57" i="14" l="1"/>
  <c r="K237" i="14" l="1"/>
  <c r="AM314" i="14" l="1"/>
  <c r="AL220" i="14"/>
  <c r="AM238" i="14"/>
  <c r="N238" i="14"/>
  <c r="J238" i="14"/>
  <c r="AM239" i="14"/>
  <c r="M239" i="14"/>
  <c r="M174" i="14"/>
  <c r="AM174" i="14"/>
  <c r="AL111" i="14"/>
  <c r="I111" i="14" s="1"/>
  <c r="AL100" i="14"/>
  <c r="M118" i="14"/>
  <c r="AM118" i="14"/>
  <c r="AM57" i="14"/>
  <c r="AM111" i="14" l="1"/>
  <c r="G6" i="2" l="1"/>
  <c r="G8" i="2"/>
  <c r="G10" i="2" l="1"/>
  <c r="G12" i="2" s="1"/>
  <c r="E305" i="14"/>
  <c r="AM313" i="14"/>
  <c r="K313" i="14"/>
  <c r="AM312" i="14"/>
  <c r="K312" i="14"/>
  <c r="AM237" i="14"/>
  <c r="AM173" i="14"/>
  <c r="K173" i="14"/>
  <c r="AM117" i="14"/>
  <c r="K117" i="14"/>
  <c r="K116" i="14"/>
  <c r="K56" i="14"/>
  <c r="AM56" i="14"/>
  <c r="G106" i="10" l="1"/>
  <c r="G104" i="10"/>
  <c r="G87" i="10"/>
  <c r="G88" i="10"/>
  <c r="G77" i="10"/>
  <c r="G74" i="10"/>
  <c r="G72" i="10"/>
  <c r="G71" i="10"/>
  <c r="G70" i="10"/>
  <c r="G48" i="10"/>
  <c r="G43" i="10"/>
  <c r="G38" i="10"/>
  <c r="G29" i="10"/>
  <c r="I9" i="16"/>
  <c r="G8" i="16"/>
  <c r="D8" i="16"/>
  <c r="B8" i="16"/>
  <c r="C8" i="16"/>
  <c r="Q172" i="14"/>
  <c r="AM172" i="14"/>
  <c r="J235" i="14"/>
  <c r="J234" i="14"/>
  <c r="J231" i="14"/>
  <c r="AM236" i="14"/>
  <c r="I236" i="14"/>
  <c r="J236" i="14" s="1"/>
  <c r="J302" i="14"/>
  <c r="J303" i="14"/>
  <c r="J304" i="14"/>
  <c r="J305" i="14"/>
  <c r="J306" i="14"/>
  <c r="J307" i="14"/>
  <c r="J301" i="14"/>
  <c r="I311" i="14"/>
  <c r="J311" i="14" s="1"/>
  <c r="H310" i="14"/>
  <c r="J310" i="14" s="1"/>
  <c r="G309" i="14"/>
  <c r="F308" i="14"/>
  <c r="AM306" i="14"/>
  <c r="AM307" i="14"/>
  <c r="AM308" i="14"/>
  <c r="AM309" i="14"/>
  <c r="AM310" i="14"/>
  <c r="AM311" i="14"/>
  <c r="N307" i="14"/>
  <c r="M306" i="14"/>
  <c r="P55" i="14"/>
  <c r="P77" i="14" s="1"/>
  <c r="Q5" i="8" s="1"/>
  <c r="N54" i="14"/>
  <c r="L53" i="14"/>
  <c r="AM53" i="14"/>
  <c r="AM54" i="14"/>
  <c r="AM55" i="14"/>
  <c r="J309" i="14" l="1"/>
  <c r="J308" i="14"/>
  <c r="B6" i="16"/>
  <c r="B10" i="16" s="1"/>
  <c r="AL290" i="14"/>
  <c r="AL230" i="14"/>
  <c r="N26" i="8" l="1"/>
  <c r="T26" i="8"/>
  <c r="S26" i="8"/>
  <c r="Q26" i="8" l="1"/>
  <c r="U26" i="8"/>
  <c r="O26" i="8"/>
  <c r="P26" i="8"/>
  <c r="R26" i="8"/>
  <c r="M26" i="8"/>
  <c r="G204" i="14"/>
  <c r="F203" i="14"/>
  <c r="AL12" i="14"/>
  <c r="AL11" i="14"/>
  <c r="AM78" i="14"/>
  <c r="AM302" i="14"/>
  <c r="M302" i="14"/>
  <c r="AM305" i="14"/>
  <c r="E235" i="14"/>
  <c r="AM235" i="14"/>
  <c r="AM171" i="14"/>
  <c r="J171" i="14"/>
  <c r="E171" i="14"/>
  <c r="V333" i="14"/>
  <c r="AM115" i="14"/>
  <c r="E115" i="14"/>
  <c r="AM51" i="14"/>
  <c r="AM52" i="14"/>
  <c r="C22" i="2" l="1"/>
  <c r="AA40" i="2"/>
  <c r="Z40" i="2"/>
  <c r="C43" i="2" l="1"/>
  <c r="C42" i="2"/>
  <c r="C41" i="2"/>
  <c r="L43" i="2"/>
  <c r="L42" i="2"/>
  <c r="L41" i="2"/>
  <c r="AA41" i="2"/>
  <c r="H43" i="2"/>
  <c r="H42" i="2"/>
  <c r="Q43" i="2"/>
  <c r="Q42" i="2"/>
  <c r="Q41" i="2"/>
  <c r="G14" i="10"/>
  <c r="G7" i="10"/>
  <c r="G3" i="10"/>
  <c r="AL141" i="14" l="1"/>
  <c r="Z41" i="2"/>
  <c r="T40" i="2"/>
  <c r="B42" i="2" l="1"/>
  <c r="B43" i="2"/>
  <c r="B41" i="2"/>
  <c r="K43" i="2"/>
  <c r="K42" i="2"/>
  <c r="K41" i="2"/>
  <c r="T41" i="2"/>
  <c r="E40" i="12"/>
  <c r="AM304" i="14" l="1"/>
  <c r="N304" i="14"/>
  <c r="AM303" i="14"/>
  <c r="M303" i="14"/>
  <c r="AM234" i="14"/>
  <c r="N234" i="14"/>
  <c r="AM233" i="14"/>
  <c r="M233" i="14"/>
  <c r="AM170" i="14"/>
  <c r="N170" i="14"/>
  <c r="AM169" i="14"/>
  <c r="M169" i="14"/>
  <c r="AM113" i="14"/>
  <c r="AM114" i="14"/>
  <c r="N114" i="14"/>
  <c r="M113" i="14"/>
  <c r="N51" i="14"/>
  <c r="AM50" i="14"/>
  <c r="I32" i="12"/>
  <c r="L38" i="12"/>
  <c r="M38" i="12"/>
  <c r="Q10" i="8" l="1"/>
  <c r="Q12" i="8" s="1"/>
  <c r="S10" i="8"/>
  <c r="S12" i="8" s="1"/>
  <c r="T10" i="8"/>
  <c r="T12" i="8" s="1"/>
  <c r="L18" i="16" l="1"/>
  <c r="M18" i="16" s="1"/>
  <c r="E41" i="12"/>
  <c r="AM232" i="14" l="1"/>
  <c r="K232" i="14"/>
  <c r="I107" i="14"/>
  <c r="D6" i="16" l="1"/>
  <c r="D10" i="16" s="1"/>
  <c r="H17" i="2"/>
  <c r="AL289" i="14"/>
  <c r="L299" i="14"/>
  <c r="AL285" i="14"/>
  <c r="AL293" i="14"/>
  <c r="AL292" i="14"/>
  <c r="AL263" i="14"/>
  <c r="AM301" i="14"/>
  <c r="E301" i="14"/>
  <c r="AL219" i="14"/>
  <c r="E231" i="14"/>
  <c r="AL222" i="14"/>
  <c r="AM230" i="14"/>
  <c r="E230" i="14"/>
  <c r="AM231" i="14"/>
  <c r="AL157" i="14"/>
  <c r="E168" i="14"/>
  <c r="AM168" i="14"/>
  <c r="AL101" i="14"/>
  <c r="AL103" i="14"/>
  <c r="AM112" i="14"/>
  <c r="E112" i="14"/>
  <c r="AL38" i="14"/>
  <c r="AL37" i="14"/>
  <c r="AM49" i="14"/>
  <c r="AL42" i="14"/>
  <c r="AL40" i="14"/>
  <c r="AL39" i="14"/>
  <c r="T17" i="2" l="1"/>
  <c r="T18" i="2" s="1"/>
  <c r="D39" i="12" l="1"/>
  <c r="B19" i="2"/>
  <c r="B7" i="16" s="1"/>
  <c r="B20" i="2"/>
  <c r="B9" i="16" s="1"/>
  <c r="K20" i="2"/>
  <c r="G9" i="16" s="1"/>
  <c r="I31" i="12"/>
  <c r="B11" i="16" l="1"/>
  <c r="M43" i="12"/>
  <c r="M41" i="12"/>
  <c r="M40" i="12"/>
  <c r="D41" i="12"/>
  <c r="D40" i="12"/>
  <c r="E39" i="12" l="1"/>
  <c r="E300" i="14" l="1"/>
  <c r="G10" i="8" l="1"/>
  <c r="E10" i="8"/>
  <c r="E12" i="8" s="1"/>
  <c r="K17" i="16" s="1"/>
  <c r="G94" i="10" l="1"/>
  <c r="AL82" i="14" l="1"/>
  <c r="AM7" i="14"/>
  <c r="M207" i="14" l="1"/>
  <c r="L98" i="14"/>
  <c r="L138" i="14" s="1"/>
  <c r="M6" i="8" s="1"/>
  <c r="L30" i="14"/>
  <c r="E373" i="14" l="1"/>
  <c r="J108" i="14"/>
  <c r="J109" i="14"/>
  <c r="J110" i="14"/>
  <c r="E381" i="14"/>
  <c r="N381" i="14" s="1"/>
  <c r="H350" i="14" l="1"/>
  <c r="J350" i="14" s="1"/>
  <c r="J111" i="14"/>
  <c r="G61" i="10"/>
  <c r="G63" i="10"/>
  <c r="G47" i="10"/>
  <c r="G31" i="10"/>
  <c r="G33" i="10"/>
  <c r="G32" i="10"/>
  <c r="G30" i="10"/>
  <c r="G24" i="10"/>
  <c r="G23" i="10"/>
  <c r="G21" i="10"/>
  <c r="G20" i="10"/>
  <c r="AL291" i="14"/>
  <c r="AL271" i="14"/>
  <c r="AL270" i="14"/>
  <c r="AL269" i="14"/>
  <c r="AM193" i="14"/>
  <c r="AL32" i="14"/>
  <c r="AM42" i="14"/>
  <c r="G6" i="10"/>
  <c r="G5" i="10"/>
  <c r="G380" i="14" l="1"/>
  <c r="H380" i="14"/>
  <c r="I380" i="14"/>
  <c r="F381" i="14"/>
  <c r="G381" i="14"/>
  <c r="H381" i="14"/>
  <c r="I381" i="14"/>
  <c r="E380" i="14"/>
  <c r="N380" i="14" s="1"/>
  <c r="F338" i="14"/>
  <c r="Q11" i="2"/>
  <c r="I8" i="16" s="1"/>
  <c r="B10" i="8"/>
  <c r="B12" i="8" s="1"/>
  <c r="K14" i="16" s="1"/>
  <c r="B18" i="2" l="1"/>
  <c r="H8" i="16"/>
  <c r="L381" i="14"/>
  <c r="M381" i="14" s="1"/>
  <c r="F272" i="14"/>
  <c r="AM270" i="14"/>
  <c r="AM269" i="14"/>
  <c r="AM268" i="14"/>
  <c r="M299" i="14"/>
  <c r="M298" i="14"/>
  <c r="I297" i="14"/>
  <c r="H296" i="14"/>
  <c r="G295" i="14"/>
  <c r="J298" i="14"/>
  <c r="J299" i="14"/>
  <c r="J300" i="14"/>
  <c r="AM300" i="14"/>
  <c r="AM299" i="14"/>
  <c r="AM298" i="14"/>
  <c r="AM297" i="14"/>
  <c r="AM296" i="14"/>
  <c r="AM295" i="14"/>
  <c r="J42" i="14"/>
  <c r="J43" i="14"/>
  <c r="J44" i="14"/>
  <c r="J165" i="14"/>
  <c r="J166" i="14"/>
  <c r="J167" i="14"/>
  <c r="J223" i="14"/>
  <c r="J224" i="14"/>
  <c r="J225" i="14"/>
  <c r="AM223" i="14"/>
  <c r="AM224" i="14"/>
  <c r="AM225" i="14"/>
  <c r="AM226" i="14"/>
  <c r="AM227" i="14"/>
  <c r="AM228" i="14"/>
  <c r="AM229" i="14"/>
  <c r="G228" i="14"/>
  <c r="H227" i="14"/>
  <c r="I226" i="14"/>
  <c r="F229" i="14"/>
  <c r="N225" i="14"/>
  <c r="M224" i="14"/>
  <c r="M258" i="14" s="1"/>
  <c r="N8" i="8" s="1"/>
  <c r="E223" i="14"/>
  <c r="E167" i="14"/>
  <c r="N166" i="14"/>
  <c r="N192" i="14" s="1"/>
  <c r="O7" i="8" s="1"/>
  <c r="M165" i="14"/>
  <c r="M192" i="14" s="1"/>
  <c r="N7" i="8" s="1"/>
  <c r="N109" i="14"/>
  <c r="N138" i="14" s="1"/>
  <c r="O6" i="8" s="1"/>
  <c r="M108" i="14"/>
  <c r="M138" i="14" s="1"/>
  <c r="N6" i="8" s="1"/>
  <c r="F161" i="14"/>
  <c r="I164" i="14"/>
  <c r="H163" i="14"/>
  <c r="G162" i="14"/>
  <c r="AM161" i="14"/>
  <c r="AM162" i="14"/>
  <c r="AM163" i="14"/>
  <c r="AM164" i="14"/>
  <c r="AM165" i="14"/>
  <c r="AM166" i="14"/>
  <c r="AM167" i="14"/>
  <c r="E110" i="14"/>
  <c r="AM104" i="14"/>
  <c r="AM105" i="14"/>
  <c r="AM106" i="14"/>
  <c r="AM107" i="14"/>
  <c r="AM108" i="14"/>
  <c r="AM109" i="14"/>
  <c r="AM110" i="14"/>
  <c r="N44" i="14"/>
  <c r="M43" i="14"/>
  <c r="M77" i="14" s="1"/>
  <c r="N5" i="8" s="1"/>
  <c r="AM43" i="14"/>
  <c r="AM44" i="14"/>
  <c r="AM45" i="14"/>
  <c r="AM48" i="14"/>
  <c r="G47" i="14"/>
  <c r="H46" i="14"/>
  <c r="I45" i="14"/>
  <c r="AM46" i="14"/>
  <c r="AM47" i="14"/>
  <c r="E42" i="14"/>
  <c r="E338" i="14" s="1"/>
  <c r="AA48" i="14"/>
  <c r="J48" i="14"/>
  <c r="H373" i="14" l="1"/>
  <c r="E346" i="14"/>
  <c r="E360" i="14"/>
  <c r="E364" i="14" s="1"/>
  <c r="J105" i="14"/>
  <c r="G346" i="14"/>
  <c r="J106" i="14"/>
  <c r="H346" i="14"/>
  <c r="J161" i="14"/>
  <c r="F353" i="14"/>
  <c r="J297" i="14"/>
  <c r="I373" i="14"/>
  <c r="J47" i="14"/>
  <c r="G338" i="14"/>
  <c r="J164" i="14"/>
  <c r="I353" i="14"/>
  <c r="J162" i="14"/>
  <c r="G353" i="14"/>
  <c r="J45" i="14"/>
  <c r="I338" i="14"/>
  <c r="J46" i="14"/>
  <c r="H338" i="14"/>
  <c r="J104" i="14"/>
  <c r="F346" i="14"/>
  <c r="J163" i="14"/>
  <c r="H353" i="14"/>
  <c r="J295" i="14"/>
  <c r="G373" i="14"/>
  <c r="J373" i="14" s="1"/>
  <c r="J226" i="14"/>
  <c r="I360" i="14"/>
  <c r="J229" i="14"/>
  <c r="F360" i="14"/>
  <c r="J228" i="14"/>
  <c r="G360" i="14"/>
  <c r="J227" i="14"/>
  <c r="H360" i="14"/>
  <c r="J107" i="14"/>
  <c r="I346" i="14"/>
  <c r="E343" i="14"/>
  <c r="J296" i="14"/>
  <c r="E378" i="14" l="1"/>
  <c r="N378" i="14" s="1"/>
  <c r="G45" i="10"/>
  <c r="G42" i="10"/>
  <c r="G15" i="10"/>
  <c r="G16" i="10"/>
  <c r="G17" i="10"/>
  <c r="G13" i="10"/>
  <c r="G12" i="10"/>
  <c r="G11" i="10"/>
  <c r="G10" i="10"/>
  <c r="G9" i="10"/>
  <c r="G8" i="10"/>
  <c r="G4" i="10"/>
  <c r="AM20" i="14" l="1"/>
  <c r="AM21" i="14"/>
  <c r="AM22" i="14"/>
  <c r="AM23" i="14"/>
  <c r="AM40" i="14"/>
  <c r="I30" i="12" l="1"/>
  <c r="F10" i="8" l="1"/>
  <c r="C12" i="8"/>
  <c r="K15" i="16" s="1"/>
  <c r="AL280" i="14" l="1"/>
  <c r="E294" i="14"/>
  <c r="AM219" i="14"/>
  <c r="AL215" i="14"/>
  <c r="C6" i="16" l="1"/>
  <c r="C10" i="16" s="1"/>
  <c r="AM84" i="14"/>
  <c r="AL85" i="14"/>
  <c r="AL34" i="14"/>
  <c r="AL33" i="14"/>
  <c r="AM32" i="14"/>
  <c r="F20" i="14"/>
  <c r="G38" i="14"/>
  <c r="F37" i="14"/>
  <c r="J38" i="14" l="1"/>
  <c r="F341" i="14"/>
  <c r="J37" i="14"/>
  <c r="D12" i="2" l="1"/>
  <c r="C17" i="2" s="1"/>
  <c r="F7" i="8" l="1"/>
  <c r="I29" i="12" l="1"/>
  <c r="J360" i="14"/>
  <c r="J361" i="14"/>
  <c r="J362" i="14"/>
  <c r="J371" i="14"/>
  <c r="J348" i="14"/>
  <c r="J381" i="14" s="1"/>
  <c r="AM290" i="14"/>
  <c r="AM291" i="14"/>
  <c r="AM292" i="14"/>
  <c r="AM293" i="14"/>
  <c r="AM294" i="14"/>
  <c r="J289" i="14"/>
  <c r="J294" i="14"/>
  <c r="K373" i="14"/>
  <c r="I293" i="14"/>
  <c r="J293" i="14" s="1"/>
  <c r="H292" i="14"/>
  <c r="J292" i="14" s="1"/>
  <c r="F291" i="14"/>
  <c r="J291" i="14" s="1"/>
  <c r="G290" i="14"/>
  <c r="I219" i="14"/>
  <c r="J219" i="14" s="1"/>
  <c r="H220" i="14"/>
  <c r="J220" i="14" s="1"/>
  <c r="G221" i="14"/>
  <c r="F222" i="14"/>
  <c r="J222" i="14" s="1"/>
  <c r="AM220" i="14"/>
  <c r="AM221" i="14"/>
  <c r="AM222" i="14"/>
  <c r="J41" i="14"/>
  <c r="J99" i="14"/>
  <c r="I160" i="14"/>
  <c r="I355" i="14" s="1"/>
  <c r="H159" i="14"/>
  <c r="J159" i="14" s="1"/>
  <c r="G158" i="14"/>
  <c r="J158" i="14" s="1"/>
  <c r="F157" i="14"/>
  <c r="J157" i="14" s="1"/>
  <c r="AM158" i="14"/>
  <c r="AM159" i="14"/>
  <c r="AM160" i="14"/>
  <c r="AM157" i="14"/>
  <c r="I103" i="14"/>
  <c r="H102" i="14"/>
  <c r="G101" i="14"/>
  <c r="F100" i="14"/>
  <c r="AM100" i="14"/>
  <c r="AM101" i="14"/>
  <c r="AM102" i="14"/>
  <c r="AM103" i="14"/>
  <c r="AK333" i="14"/>
  <c r="K41" i="14"/>
  <c r="K342" i="14" s="1"/>
  <c r="I40" i="14"/>
  <c r="I341" i="14" s="1"/>
  <c r="H39" i="14"/>
  <c r="H341" i="14" s="1"/>
  <c r="G341" i="14"/>
  <c r="AM37" i="14"/>
  <c r="AM38" i="14"/>
  <c r="AM39" i="14"/>
  <c r="AM41" i="14"/>
  <c r="AA38" i="14"/>
  <c r="AA39" i="14"/>
  <c r="AA40" i="14"/>
  <c r="AA41" i="14"/>
  <c r="AA37" i="14"/>
  <c r="AA36" i="14"/>
  <c r="J221" i="14" l="1"/>
  <c r="J290" i="14"/>
  <c r="J100" i="14"/>
  <c r="J101" i="14"/>
  <c r="J102" i="14"/>
  <c r="J103" i="14"/>
  <c r="F355" i="14"/>
  <c r="G349" i="14"/>
  <c r="G355" i="14"/>
  <c r="F372" i="14"/>
  <c r="F363" i="14"/>
  <c r="J341" i="14"/>
  <c r="G363" i="14"/>
  <c r="H349" i="14"/>
  <c r="G372" i="14"/>
  <c r="J160" i="14"/>
  <c r="I349" i="14"/>
  <c r="H372" i="14"/>
  <c r="H355" i="14"/>
  <c r="H363" i="14"/>
  <c r="F349" i="14"/>
  <c r="I372" i="14"/>
  <c r="I363" i="14"/>
  <c r="J39" i="14"/>
  <c r="J40" i="14"/>
  <c r="F351" i="14" l="1"/>
  <c r="J355" i="14"/>
  <c r="J363" i="14"/>
  <c r="J372" i="14"/>
  <c r="J349" i="14"/>
  <c r="K218" i="14" l="1"/>
  <c r="K362" i="14" s="1"/>
  <c r="AM218" i="14"/>
  <c r="K36" i="14" l="1"/>
  <c r="AM36" i="14"/>
  <c r="K35" i="14"/>
  <c r="AM35" i="14"/>
  <c r="E31" i="14" l="1"/>
  <c r="AM31" i="14"/>
  <c r="H85" i="14" l="1"/>
  <c r="H347" i="14" s="1"/>
  <c r="J347" i="14" s="1"/>
  <c r="K83" i="14"/>
  <c r="J284" i="14" l="1"/>
  <c r="K284" i="14"/>
  <c r="AL276" i="14"/>
  <c r="AL282" i="14"/>
  <c r="AL283" i="14"/>
  <c r="AL272" i="14"/>
  <c r="AM289" i="14"/>
  <c r="AM288" i="14"/>
  <c r="AM287" i="14"/>
  <c r="AM286" i="14"/>
  <c r="AM285" i="14"/>
  <c r="K289" i="14"/>
  <c r="K371" i="14" s="1"/>
  <c r="K380" i="14" s="1"/>
  <c r="O380" i="14" s="1"/>
  <c r="I288" i="14"/>
  <c r="J288" i="14" s="1"/>
  <c r="H287" i="14"/>
  <c r="H370" i="14" s="1"/>
  <c r="G286" i="14"/>
  <c r="J286" i="14" s="1"/>
  <c r="F285" i="14"/>
  <c r="J285" i="14" s="1"/>
  <c r="AM33" i="14"/>
  <c r="AL29" i="14"/>
  <c r="AL24" i="14"/>
  <c r="E24" i="14" s="1"/>
  <c r="AL13" i="14"/>
  <c r="D42" i="12" l="1"/>
  <c r="G370" i="14"/>
  <c r="J287" i="14"/>
  <c r="I370" i="14"/>
  <c r="F370" i="14"/>
  <c r="F379" i="14" s="1"/>
  <c r="J370" i="14" l="1"/>
  <c r="Y11" i="8"/>
  <c r="Z11" i="8"/>
  <c r="AA11" i="8"/>
  <c r="AB11" i="8"/>
  <c r="AC11" i="8"/>
  <c r="AD11" i="8"/>
  <c r="X11" i="8"/>
  <c r="K154" i="14" l="1"/>
  <c r="Q152" i="14" l="1"/>
  <c r="Q192" i="14" s="1"/>
  <c r="R7" i="8" s="1"/>
  <c r="D10" i="8" l="1"/>
  <c r="D12" i="8" s="1"/>
  <c r="K16" i="16" s="1"/>
  <c r="F12" i="8"/>
  <c r="J10" i="8"/>
  <c r="J12" i="8" s="1"/>
  <c r="K20" i="16" s="1"/>
  <c r="H12" i="8"/>
  <c r="I12" i="8"/>
  <c r="G12" i="8" l="1"/>
  <c r="K19" i="16" s="1"/>
  <c r="K17" i="14" l="1"/>
  <c r="J352" i="14"/>
  <c r="AL262" i="14"/>
  <c r="AL198" i="14"/>
  <c r="AL197" i="14"/>
  <c r="AL195" i="14"/>
  <c r="AL143" i="14"/>
  <c r="AL139" i="14"/>
  <c r="AL6" i="14"/>
  <c r="AL15" i="14"/>
  <c r="AL14" i="14"/>
  <c r="AM284" i="14"/>
  <c r="AM217" i="14"/>
  <c r="K217" i="14"/>
  <c r="K361" i="14" s="1"/>
  <c r="AM216" i="14"/>
  <c r="K216" i="14"/>
  <c r="K360" i="14" s="1"/>
  <c r="K99" i="14"/>
  <c r="K348" i="14" s="1"/>
  <c r="AM99" i="14"/>
  <c r="K34" i="14"/>
  <c r="K33" i="14"/>
  <c r="AM34" i="14"/>
  <c r="K381" i="14" l="1"/>
  <c r="O381" i="14" s="1"/>
  <c r="J369" i="14" l="1"/>
  <c r="J366" i="14"/>
  <c r="J365" i="14"/>
  <c r="J359" i="14"/>
  <c r="J354" i="14"/>
  <c r="J344" i="14"/>
  <c r="J340" i="14"/>
  <c r="AL144" i="14"/>
  <c r="I27" i="12" l="1"/>
  <c r="I8" i="12"/>
  <c r="T11" i="2" l="1"/>
  <c r="M272" i="14"/>
  <c r="P333" i="14" l="1"/>
  <c r="AM283" i="14"/>
  <c r="M283" i="14"/>
  <c r="M332" i="14" s="1"/>
  <c r="N9" i="8" s="1"/>
  <c r="N282" i="14"/>
  <c r="N332" i="14" s="1"/>
  <c r="O9" i="8" s="1"/>
  <c r="AM282" i="14"/>
  <c r="AM281" i="14"/>
  <c r="K274" i="14"/>
  <c r="K275" i="14"/>
  <c r="K278" i="14"/>
  <c r="K281" i="14"/>
  <c r="K369" i="14" s="1"/>
  <c r="K267" i="14"/>
  <c r="E280" i="14"/>
  <c r="F280" i="14"/>
  <c r="AM280" i="14"/>
  <c r="K332" i="14" l="1"/>
  <c r="Z9" i="8"/>
  <c r="N10" i="8"/>
  <c r="K368" i="14"/>
  <c r="J280" i="14"/>
  <c r="K202" i="14"/>
  <c r="K208" i="14"/>
  <c r="K209" i="14"/>
  <c r="K212" i="14"/>
  <c r="K215" i="14"/>
  <c r="K359" i="14" s="1"/>
  <c r="AM215" i="14"/>
  <c r="N12" i="8" l="1"/>
  <c r="Y9" i="8"/>
  <c r="K374" i="14"/>
  <c r="K357" i="14"/>
  <c r="E263" i="14"/>
  <c r="E366" i="14" s="1"/>
  <c r="K32" i="14"/>
  <c r="L15" i="16" l="1"/>
  <c r="M15" i="16" s="1"/>
  <c r="K340" i="14"/>
  <c r="K379" i="14" s="1"/>
  <c r="O379" i="14" s="1"/>
  <c r="E29" i="14"/>
  <c r="AM24" i="14"/>
  <c r="AM214" i="14" l="1"/>
  <c r="E214" i="14"/>
  <c r="AM156" i="14"/>
  <c r="E156" i="14"/>
  <c r="AM98" i="14"/>
  <c r="G86" i="10" l="1"/>
  <c r="G54" i="10" l="1"/>
  <c r="G51" i="10"/>
  <c r="G50" i="10"/>
  <c r="G44" i="10"/>
  <c r="G46" i="10"/>
  <c r="G41" i="10" l="1"/>
  <c r="G40" i="10"/>
  <c r="G22" i="10"/>
  <c r="G28" i="10"/>
  <c r="G36" i="10"/>
  <c r="G39" i="10"/>
  <c r="G53" i="10"/>
  <c r="F273" i="14" l="1"/>
  <c r="F274" i="14"/>
  <c r="F275" i="14"/>
  <c r="F276" i="14"/>
  <c r="J276" i="14" s="1"/>
  <c r="F277" i="14"/>
  <c r="F278" i="14"/>
  <c r="F279" i="14"/>
  <c r="AM279" i="14"/>
  <c r="L279" i="14"/>
  <c r="L332" i="14" s="1"/>
  <c r="M9" i="8" s="1"/>
  <c r="L213" i="14"/>
  <c r="L258" i="14" s="1"/>
  <c r="M8" i="8" s="1"/>
  <c r="AM213" i="14"/>
  <c r="J275" i="14" l="1"/>
  <c r="J278" i="14"/>
  <c r="J274" i="14"/>
  <c r="J277" i="14"/>
  <c r="J273" i="14"/>
  <c r="J279" i="14"/>
  <c r="L155" i="14"/>
  <c r="L192" i="14" s="1"/>
  <c r="M7" i="8" s="1"/>
  <c r="AM155" i="14"/>
  <c r="AM30" i="14"/>
  <c r="E277" i="14" l="1"/>
  <c r="Q276" i="14"/>
  <c r="Q332" i="14" s="1"/>
  <c r="R9" i="8" s="1"/>
  <c r="AM274" i="14"/>
  <c r="AM275" i="14"/>
  <c r="AM276" i="14"/>
  <c r="AM277" i="14"/>
  <c r="AM278" i="14"/>
  <c r="E211" i="14"/>
  <c r="E258" i="14" s="1"/>
  <c r="Q210" i="14"/>
  <c r="Q258" i="14" s="1"/>
  <c r="R8" i="8" s="1"/>
  <c r="AM208" i="14"/>
  <c r="AM209" i="14"/>
  <c r="AM210" i="14"/>
  <c r="AM211" i="14"/>
  <c r="AM212" i="14"/>
  <c r="AM154" i="14"/>
  <c r="E153" i="14"/>
  <c r="AM153" i="14"/>
  <c r="K150" i="14"/>
  <c r="K151" i="14"/>
  <c r="K354" i="14"/>
  <c r="AM150" i="14"/>
  <c r="AM151" i="14"/>
  <c r="AM152" i="14"/>
  <c r="S333" i="14"/>
  <c r="E96" i="14"/>
  <c r="K97" i="14"/>
  <c r="K94" i="14"/>
  <c r="K95" i="14"/>
  <c r="AM94" i="14"/>
  <c r="AM95" i="14"/>
  <c r="AM96" i="14"/>
  <c r="AM97" i="14"/>
  <c r="K8" i="2" l="1"/>
  <c r="E25" i="14"/>
  <c r="E26" i="14"/>
  <c r="E27" i="14"/>
  <c r="E28" i="14"/>
  <c r="Q28" i="14"/>
  <c r="Q12" i="14"/>
  <c r="K25" i="14"/>
  <c r="K26" i="14"/>
  <c r="K27" i="14"/>
  <c r="AM26" i="14"/>
  <c r="AM27" i="14"/>
  <c r="AM28" i="14"/>
  <c r="AM29" i="14"/>
  <c r="AM25" i="14"/>
  <c r="Q77" i="14" l="1"/>
  <c r="R5" i="8" s="1"/>
  <c r="AC5" i="8" s="1"/>
  <c r="AM146" i="14"/>
  <c r="AM147" i="14"/>
  <c r="AM148" i="14"/>
  <c r="AM149" i="14"/>
  <c r="AM273" i="14" l="1"/>
  <c r="E273" i="14"/>
  <c r="J145" i="14"/>
  <c r="AA146" i="14"/>
  <c r="AA145" i="14"/>
  <c r="AA147" i="14"/>
  <c r="AA148" i="14"/>
  <c r="AA149" i="14"/>
  <c r="AM145" i="14"/>
  <c r="I149" i="14"/>
  <c r="H148" i="14"/>
  <c r="H192" i="14" s="1"/>
  <c r="G147" i="14"/>
  <c r="G192" i="14" s="1"/>
  <c r="F146" i="14"/>
  <c r="F192" i="14" s="1"/>
  <c r="K145" i="14"/>
  <c r="K192" i="14" s="1"/>
  <c r="AA89" i="14"/>
  <c r="AA90" i="14"/>
  <c r="AA91" i="14"/>
  <c r="AA92" i="14"/>
  <c r="AA93" i="14"/>
  <c r="J89" i="14"/>
  <c r="I93" i="14"/>
  <c r="H92" i="14"/>
  <c r="G91" i="14"/>
  <c r="F90" i="14"/>
  <c r="F138" i="14" s="1"/>
  <c r="K89" i="14"/>
  <c r="AM89" i="14"/>
  <c r="AM90" i="14"/>
  <c r="AM91" i="14"/>
  <c r="AM92" i="14"/>
  <c r="AM93" i="14"/>
  <c r="H356" i="14" l="1"/>
  <c r="F356" i="14"/>
  <c r="G356" i="14"/>
  <c r="K353" i="14"/>
  <c r="K356" i="14" s="1"/>
  <c r="K346" i="14"/>
  <c r="K351" i="14" s="1"/>
  <c r="J149" i="14"/>
  <c r="J92" i="14"/>
  <c r="J93" i="14"/>
  <c r="J146" i="14"/>
  <c r="J91" i="14"/>
  <c r="J148" i="14"/>
  <c r="J90" i="14"/>
  <c r="J147" i="14"/>
  <c r="J353" i="14" l="1"/>
  <c r="J346" i="14"/>
  <c r="AM272" i="14"/>
  <c r="J272" i="14"/>
  <c r="AM271" i="14"/>
  <c r="AA271" i="14"/>
  <c r="I271" i="14"/>
  <c r="I332" i="14" s="1"/>
  <c r="AA270" i="14"/>
  <c r="H270" i="14"/>
  <c r="H332" i="14" s="1"/>
  <c r="AA269" i="14"/>
  <c r="G269" i="14"/>
  <c r="AA268" i="14"/>
  <c r="F268" i="14"/>
  <c r="AM267" i="14"/>
  <c r="AM207" i="14"/>
  <c r="AA207" i="14"/>
  <c r="F207" i="14"/>
  <c r="AM206" i="14"/>
  <c r="AA206" i="14"/>
  <c r="H206" i="14"/>
  <c r="H358" i="14" s="1"/>
  <c r="AM205" i="14"/>
  <c r="AA205" i="14"/>
  <c r="I205" i="14"/>
  <c r="I358" i="14" s="1"/>
  <c r="F205" i="14"/>
  <c r="AM204" i="14"/>
  <c r="AA204" i="14"/>
  <c r="G357" i="14"/>
  <c r="AM203" i="14"/>
  <c r="AA203" i="14"/>
  <c r="AM202" i="14"/>
  <c r="AM201" i="14"/>
  <c r="AA201" i="14"/>
  <c r="G201" i="14"/>
  <c r="F201" i="14"/>
  <c r="AM200" i="14"/>
  <c r="AA200" i="14"/>
  <c r="H200" i="14"/>
  <c r="AM199" i="14"/>
  <c r="AA199" i="14"/>
  <c r="I199" i="14"/>
  <c r="F199" i="14"/>
  <c r="AM144" i="14"/>
  <c r="AA144" i="14"/>
  <c r="I144" i="14"/>
  <c r="K86" i="14"/>
  <c r="K85" i="14"/>
  <c r="K87" i="14"/>
  <c r="K88" i="14"/>
  <c r="AM85" i="14"/>
  <c r="AA85" i="14"/>
  <c r="AM87" i="14"/>
  <c r="AA87" i="14"/>
  <c r="I87" i="14"/>
  <c r="H87" i="14"/>
  <c r="AM88" i="14"/>
  <c r="AA88" i="14"/>
  <c r="I88" i="14"/>
  <c r="H88" i="14"/>
  <c r="G88" i="14"/>
  <c r="H258" i="14" l="1"/>
  <c r="I258" i="14"/>
  <c r="G368" i="14"/>
  <c r="F368" i="14"/>
  <c r="J206" i="14"/>
  <c r="H364" i="14"/>
  <c r="J204" i="14"/>
  <c r="J203" i="14"/>
  <c r="I364" i="14"/>
  <c r="H368" i="14"/>
  <c r="H374" i="14" s="1"/>
  <c r="N9" i="2"/>
  <c r="I368" i="14"/>
  <c r="I374" i="14" s="1"/>
  <c r="F357" i="14"/>
  <c r="J358" i="14"/>
  <c r="J268" i="14"/>
  <c r="J269" i="14"/>
  <c r="J85" i="14"/>
  <c r="J270" i="14"/>
  <c r="J271" i="14"/>
  <c r="J200" i="14"/>
  <c r="J88" i="14"/>
  <c r="J87" i="14"/>
  <c r="J144" i="14"/>
  <c r="J201" i="14"/>
  <c r="J199" i="14"/>
  <c r="F364" i="14" l="1"/>
  <c r="F378" i="14"/>
  <c r="G374" i="14"/>
  <c r="G378" i="14"/>
  <c r="J368" i="14"/>
  <c r="J357" i="14"/>
  <c r="AA16" i="14"/>
  <c r="AA17" i="14"/>
  <c r="AA18" i="14"/>
  <c r="AA19" i="14"/>
  <c r="AA20" i="14"/>
  <c r="AA21" i="14"/>
  <c r="AA22" i="14"/>
  <c r="AA23" i="14"/>
  <c r="I23" i="14"/>
  <c r="I77" i="14" s="1"/>
  <c r="F21" i="14"/>
  <c r="F22" i="14"/>
  <c r="F23" i="14"/>
  <c r="H22" i="14"/>
  <c r="H77" i="14" s="1"/>
  <c r="G21" i="14"/>
  <c r="G77" i="14" s="1"/>
  <c r="F19" i="14"/>
  <c r="F18" i="14"/>
  <c r="F17" i="14"/>
  <c r="F16" i="14"/>
  <c r="K19" i="14"/>
  <c r="O18" i="14"/>
  <c r="O16" i="14"/>
  <c r="AM16" i="14"/>
  <c r="AM17" i="14"/>
  <c r="AM18" i="14"/>
  <c r="AM19" i="14"/>
  <c r="O5" i="2" l="1"/>
  <c r="H339" i="14"/>
  <c r="H343" i="14" s="1"/>
  <c r="I339" i="14"/>
  <c r="I343" i="14" s="1"/>
  <c r="K338" i="14"/>
  <c r="K378" i="14" s="1"/>
  <c r="G343" i="14"/>
  <c r="J17" i="14"/>
  <c r="J21" i="14"/>
  <c r="J19" i="14"/>
  <c r="J23" i="14"/>
  <c r="J16" i="14"/>
  <c r="J20" i="14"/>
  <c r="J22" i="14"/>
  <c r="I378" i="14" l="1"/>
  <c r="H378" i="14"/>
  <c r="O378" i="14"/>
  <c r="O382" i="14" s="1"/>
  <c r="K382" i="14"/>
  <c r="K383" i="14" s="1"/>
  <c r="F343" i="14"/>
  <c r="K343" i="14"/>
  <c r="J338" i="14"/>
  <c r="J339" i="14"/>
  <c r="AA266" i="14"/>
  <c r="AA265" i="14"/>
  <c r="AA264" i="14"/>
  <c r="AA262" i="14"/>
  <c r="AA261" i="14"/>
  <c r="AA198" i="14"/>
  <c r="AA143" i="14"/>
  <c r="AA86" i="14"/>
  <c r="AA84" i="14"/>
  <c r="AA83" i="14"/>
  <c r="AA82" i="14"/>
  <c r="AA80" i="14"/>
  <c r="AA81" i="14"/>
  <c r="AA79" i="14"/>
  <c r="AA15" i="14"/>
  <c r="AA14" i="14"/>
  <c r="AA13" i="14"/>
  <c r="AA10" i="14"/>
  <c r="AA11" i="14"/>
  <c r="AA12" i="14"/>
  <c r="J141" i="14"/>
  <c r="J80" i="14"/>
  <c r="J81" i="14"/>
  <c r="J79" i="14"/>
  <c r="J7" i="14"/>
  <c r="J261" i="14"/>
  <c r="J259" i="14"/>
  <c r="AM266" i="14"/>
  <c r="F266" i="14"/>
  <c r="F367" i="14" s="1"/>
  <c r="F380" i="14" s="1"/>
  <c r="L380" i="14" s="1"/>
  <c r="M380" i="14" s="1"/>
  <c r="F198" i="14"/>
  <c r="F258" i="14" s="1"/>
  <c r="K198" i="14"/>
  <c r="L378" i="14" l="1"/>
  <c r="M378" i="14" s="1"/>
  <c r="L8" i="2"/>
  <c r="J378" i="14"/>
  <c r="J343" i="14"/>
  <c r="J266" i="14"/>
  <c r="J367" i="14"/>
  <c r="G83" i="14"/>
  <c r="G138" i="14" s="1"/>
  <c r="I86" i="14"/>
  <c r="H84" i="14"/>
  <c r="I83" i="14"/>
  <c r="K82" i="14"/>
  <c r="K138" i="14" s="1"/>
  <c r="I82" i="14"/>
  <c r="I138" i="14" s="1"/>
  <c r="H83" i="14"/>
  <c r="H86" i="14"/>
  <c r="H82" i="14"/>
  <c r="AM83" i="14"/>
  <c r="AM86" i="14"/>
  <c r="E82" i="14"/>
  <c r="AM82" i="14"/>
  <c r="H138" i="14" l="1"/>
  <c r="K6" i="2"/>
  <c r="J380" i="14"/>
  <c r="J374" i="14"/>
  <c r="Q6" i="2"/>
  <c r="G345" i="14"/>
  <c r="H345" i="14"/>
  <c r="E344" i="14"/>
  <c r="I345" i="14"/>
  <c r="J82" i="14"/>
  <c r="J86" i="14"/>
  <c r="J84" i="14"/>
  <c r="J83" i="14"/>
  <c r="H379" i="14" l="1"/>
  <c r="H351" i="14"/>
  <c r="H375" i="14" s="1"/>
  <c r="G351" i="14"/>
  <c r="G379" i="14"/>
  <c r="I379" i="14"/>
  <c r="I351" i="14"/>
  <c r="E351" i="14"/>
  <c r="J345" i="14"/>
  <c r="J379" i="14" l="1"/>
  <c r="J351" i="14"/>
  <c r="L379" i="14"/>
  <c r="M379" i="14" s="1"/>
  <c r="M382" i="14" s="1"/>
  <c r="AL8" i="14"/>
  <c r="AL77" i="14" s="1"/>
  <c r="N197" i="14" l="1"/>
  <c r="N258" i="14" s="1"/>
  <c r="O8" i="8" s="1"/>
  <c r="J12" i="14" l="1"/>
  <c r="AA17" i="2" l="1"/>
  <c r="I42" i="12" l="1"/>
  <c r="I39" i="12"/>
  <c r="AA18" i="2"/>
  <c r="C20" i="2"/>
  <c r="C9" i="16" s="1"/>
  <c r="I40" i="12"/>
  <c r="I41" i="12"/>
  <c r="C18" i="2"/>
  <c r="C19" i="2"/>
  <c r="C7" i="16" s="1"/>
  <c r="L20" i="2"/>
  <c r="H9" i="16" s="1"/>
  <c r="K8" i="14"/>
  <c r="K77" i="14" s="1"/>
  <c r="I43" i="12" l="1"/>
  <c r="C11" i="16"/>
  <c r="Q5" i="2"/>
  <c r="AM263" i="14"/>
  <c r="AM139" i="14"/>
  <c r="AM265" i="14" l="1"/>
  <c r="G265" i="14"/>
  <c r="G332" i="14" s="1"/>
  <c r="AM264" i="14"/>
  <c r="F264" i="14"/>
  <c r="F332" i="14" s="1"/>
  <c r="AM198" i="14"/>
  <c r="G198" i="14"/>
  <c r="G258" i="14" s="1"/>
  <c r="F333" i="14" l="1"/>
  <c r="J264" i="14"/>
  <c r="J198" i="14"/>
  <c r="J265" i="14"/>
  <c r="F374" i="14" l="1"/>
  <c r="F375" i="14" s="1"/>
  <c r="J364" i="14"/>
  <c r="G364" i="14"/>
  <c r="G375" i="14" s="1"/>
  <c r="I25" i="12" l="1"/>
  <c r="G97" i="10" l="1"/>
  <c r="G102" i="10"/>
  <c r="I139" i="14" l="1"/>
  <c r="I192" i="14" s="1"/>
  <c r="I333" i="14" l="1"/>
  <c r="I356" i="14" l="1"/>
  <c r="I375" i="14" s="1"/>
  <c r="C18" i="9"/>
  <c r="J356" i="14" l="1"/>
  <c r="J375" i="14" s="1"/>
  <c r="G69" i="10"/>
  <c r="G75" i="10"/>
  <c r="J262" i="14" l="1"/>
  <c r="AM262" i="14"/>
  <c r="AB8" i="8"/>
  <c r="O196" i="14"/>
  <c r="AM196" i="14"/>
  <c r="AM197" i="14"/>
  <c r="AM194" i="14"/>
  <c r="AM195" i="14"/>
  <c r="AM143" i="14"/>
  <c r="AM141" i="14"/>
  <c r="AM142" i="14"/>
  <c r="AB6" i="8"/>
  <c r="AM79" i="14"/>
  <c r="AM80" i="14"/>
  <c r="AM81" i="14"/>
  <c r="AM15" i="14"/>
  <c r="AM258" i="14" l="1"/>
  <c r="Z6" i="8"/>
  <c r="Y6" i="8"/>
  <c r="AG333" i="14"/>
  <c r="X333" i="14"/>
  <c r="AI333" i="14"/>
  <c r="Z333" i="14"/>
  <c r="AE333" i="14"/>
  <c r="AJ333" i="14"/>
  <c r="AF333" i="14"/>
  <c r="W333" i="14"/>
  <c r="AH333" i="14"/>
  <c r="AD333" i="14"/>
  <c r="Y333" i="14"/>
  <c r="R333" i="14"/>
  <c r="G91" i="10" l="1"/>
  <c r="G58" i="10"/>
  <c r="G65" i="10"/>
  <c r="J15" i="14"/>
  <c r="J14" i="14"/>
  <c r="AM14" i="14"/>
  <c r="AM10" i="14"/>
  <c r="AM11" i="14"/>
  <c r="AM12" i="14"/>
  <c r="AM9" i="14"/>
  <c r="J13" i="14"/>
  <c r="K195" i="14" l="1"/>
  <c r="K258" i="14" s="1"/>
  <c r="G62" i="10" l="1"/>
  <c r="AM261" i="14"/>
  <c r="AM260" i="14"/>
  <c r="O261" i="14"/>
  <c r="K364" i="14" l="1"/>
  <c r="K375" i="14" s="1"/>
  <c r="Q8" i="2"/>
  <c r="AC9" i="8"/>
  <c r="M9" i="2"/>
  <c r="O194" i="14"/>
  <c r="AB9" i="8" l="1"/>
  <c r="O142" i="14"/>
  <c r="Q81" i="14"/>
  <c r="Q138" i="14" s="1"/>
  <c r="R6" i="8" s="1"/>
  <c r="T80" i="14"/>
  <c r="T138" i="14" s="1"/>
  <c r="U6" i="8" s="1"/>
  <c r="O79" i="14"/>
  <c r="O138" i="14" s="1"/>
  <c r="P6" i="8" s="1"/>
  <c r="R10" i="8" l="1"/>
  <c r="R12" i="8" s="1"/>
  <c r="T11" i="14"/>
  <c r="T10" i="14"/>
  <c r="O9" i="14"/>
  <c r="J9" i="14"/>
  <c r="J10" i="14"/>
  <c r="J11" i="14"/>
  <c r="T77" i="14" l="1"/>
  <c r="U5" i="8" s="1"/>
  <c r="U10" i="8" s="1"/>
  <c r="U12" i="8" s="1"/>
  <c r="L19" i="16"/>
  <c r="M19" i="16" s="1"/>
  <c r="AC6" i="8"/>
  <c r="K333" i="14"/>
  <c r="L20" i="16" l="1"/>
  <c r="M20" i="16" s="1"/>
  <c r="E141" i="14"/>
  <c r="E192" i="14" s="1"/>
  <c r="K7" i="2" l="1"/>
  <c r="E352" i="14"/>
  <c r="AD7" i="8"/>
  <c r="AD6" i="8"/>
  <c r="AD8" i="8"/>
  <c r="AD9" i="8"/>
  <c r="AD5" i="8" l="1"/>
  <c r="E356" i="14"/>
  <c r="T333" i="14"/>
  <c r="AD10" i="8" l="1"/>
  <c r="AD12" i="8" s="1"/>
  <c r="AA260" i="14"/>
  <c r="J260" i="14"/>
  <c r="J332" i="14" s="1"/>
  <c r="E260" i="14"/>
  <c r="E332" i="14" s="1"/>
  <c r="E333" i="14" l="1"/>
  <c r="E365" i="14"/>
  <c r="E379" i="14" s="1"/>
  <c r="E382" i="14" s="1"/>
  <c r="E383" i="14" s="1"/>
  <c r="N379" i="14" l="1"/>
  <c r="N382" i="14" s="1"/>
  <c r="E374" i="14"/>
  <c r="E375" i="14" s="1"/>
  <c r="G56" i="10"/>
  <c r="I23" i="12" l="1"/>
  <c r="I19" i="12" l="1"/>
  <c r="X7" i="8" l="1"/>
  <c r="O259" i="14" l="1"/>
  <c r="O332" i="14" s="1"/>
  <c r="P9" i="8" s="1"/>
  <c r="AM259" i="14"/>
  <c r="AM332" i="14" s="1"/>
  <c r="AA259" i="14"/>
  <c r="AA332" i="14" s="1"/>
  <c r="O193" i="14"/>
  <c r="O258" i="14" s="1"/>
  <c r="P8" i="8" s="1"/>
  <c r="AA193" i="14"/>
  <c r="AA258" i="14" s="1"/>
  <c r="J193" i="14"/>
  <c r="J258" i="14" s="1"/>
  <c r="Q7" i="2"/>
  <c r="O140" i="14"/>
  <c r="O192" i="14" s="1"/>
  <c r="P7" i="8" s="1"/>
  <c r="AM140" i="14"/>
  <c r="AA140" i="14"/>
  <c r="Q333" i="14"/>
  <c r="AA139" i="14"/>
  <c r="H333" i="14"/>
  <c r="J140" i="14"/>
  <c r="G333" i="14"/>
  <c r="AA78" i="14"/>
  <c r="AA138" i="14" s="1"/>
  <c r="J78" i="14"/>
  <c r="J138" i="14" s="1"/>
  <c r="AM8" i="14"/>
  <c r="AA8" i="14"/>
  <c r="J8" i="14"/>
  <c r="O7" i="14"/>
  <c r="O77" i="14" s="1"/>
  <c r="P5" i="8" s="1"/>
  <c r="AA7" i="14"/>
  <c r="AA192" i="14" l="1"/>
  <c r="AA9" i="8"/>
  <c r="AB5" i="8"/>
  <c r="X8" i="8"/>
  <c r="AC8" i="8"/>
  <c r="Q9" i="2"/>
  <c r="O7" i="2"/>
  <c r="L9" i="2"/>
  <c r="N5" i="2"/>
  <c r="N7" i="2"/>
  <c r="O8" i="2"/>
  <c r="M7" i="2"/>
  <c r="V7" i="2" s="1"/>
  <c r="L7" i="2"/>
  <c r="X6" i="8"/>
  <c r="M6" i="2"/>
  <c r="AA6" i="8"/>
  <c r="L6" i="2"/>
  <c r="U6" i="2" s="1"/>
  <c r="N6" i="2"/>
  <c r="M5" i="2"/>
  <c r="O6" i="2"/>
  <c r="X6" i="2" s="1"/>
  <c r="J139" i="14"/>
  <c r="J192" i="14" s="1"/>
  <c r="I6" i="16" l="1"/>
  <c r="I10" i="16" s="1"/>
  <c r="P10" i="8"/>
  <c r="P12" i="8" s="1"/>
  <c r="AC7" i="8"/>
  <c r="AA5" i="8"/>
  <c r="O333" i="14"/>
  <c r="P7" i="2"/>
  <c r="L5" i="2"/>
  <c r="L10" i="2" s="1"/>
  <c r="P6" i="2"/>
  <c r="N8" i="2"/>
  <c r="N10" i="2" s="1"/>
  <c r="M8" i="2"/>
  <c r="Z17" i="2"/>
  <c r="L17" i="16" l="1"/>
  <c r="M17" i="16" s="1"/>
  <c r="J39" i="12"/>
  <c r="D9" i="16"/>
  <c r="H19" i="2"/>
  <c r="D7" i="16" s="1"/>
  <c r="D11" i="16" s="1"/>
  <c r="H18" i="2"/>
  <c r="Z18" i="2"/>
  <c r="AC21" i="2"/>
  <c r="P8" i="2"/>
  <c r="Q12" i="2"/>
  <c r="Q17" i="2" s="1"/>
  <c r="Q18" i="2" s="1"/>
  <c r="M10" i="2"/>
  <c r="N12" i="2"/>
  <c r="M12" i="2" l="1"/>
  <c r="L12" i="2"/>
  <c r="I24" i="12" l="1"/>
  <c r="I22" i="12" l="1"/>
  <c r="I20" i="12"/>
  <c r="I21" i="12"/>
  <c r="Z7" i="8" l="1"/>
  <c r="M333" i="14" l="1"/>
  <c r="AB7" i="8" l="1"/>
  <c r="AC10" i="8"/>
  <c r="AC12" i="8" s="1"/>
  <c r="Y7" i="8"/>
  <c r="O9" i="2"/>
  <c r="P9" i="2" l="1"/>
  <c r="O10" i="2"/>
  <c r="P10" i="2" s="1"/>
  <c r="AA7" i="8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N6" i="14"/>
  <c r="N77" i="14" s="1"/>
  <c r="O5" i="8" s="1"/>
  <c r="AM6" i="14"/>
  <c r="O10" i="8" l="1"/>
  <c r="O12" i="8" s="1"/>
  <c r="Y8" i="8"/>
  <c r="Z8" i="8"/>
  <c r="L16" i="16" l="1"/>
  <c r="M16" i="16" s="1"/>
  <c r="AA8" i="8"/>
  <c r="N333" i="14"/>
  <c r="T8" i="2"/>
  <c r="J6" i="14"/>
  <c r="J77" i="14" s="1"/>
  <c r="AA6" i="14"/>
  <c r="AA77" i="14" l="1"/>
  <c r="AA333" i="14" s="1"/>
  <c r="J333" i="14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E22" i="9"/>
  <c r="G22" i="9"/>
  <c r="I22" i="9" s="1"/>
  <c r="H6" i="16" l="1"/>
  <c r="H10" i="16" s="1"/>
  <c r="L19" i="2"/>
  <c r="H7" i="16" s="1"/>
  <c r="H11" i="16" s="1"/>
  <c r="Q19" i="2"/>
  <c r="I7" i="16" s="1"/>
  <c r="I11" i="16" s="1"/>
  <c r="O12" i="2"/>
  <c r="P12" i="2" s="1"/>
  <c r="K22" i="9"/>
  <c r="L17" i="2" l="1"/>
  <c r="L18" i="2" s="1"/>
  <c r="J12" i="9" s="1"/>
  <c r="I18" i="12"/>
  <c r="I17" i="12"/>
  <c r="I16" i="12" l="1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333" i="14" l="1"/>
  <c r="AM13" i="14" l="1"/>
  <c r="AM77" i="14" s="1"/>
  <c r="L13" i="14"/>
  <c r="L77" i="14" s="1"/>
  <c r="M5" i="8" s="1"/>
  <c r="X5" i="8" l="1"/>
  <c r="L333" i="14"/>
  <c r="X9" i="8"/>
  <c r="X10" i="8" l="1"/>
  <c r="X12" i="8" s="1"/>
  <c r="G17" i="9" l="1"/>
  <c r="I17" i="9" s="1"/>
  <c r="K17" i="9" s="1"/>
  <c r="M12" i="8"/>
  <c r="K5" i="2"/>
  <c r="K10" i="2" l="1"/>
  <c r="G14" i="9" s="1"/>
  <c r="T5" i="2"/>
  <c r="L14" i="16"/>
  <c r="M14" i="16" s="1"/>
  <c r="K12" i="2" l="1"/>
  <c r="T12" i="2" s="1"/>
  <c r="T13" i="2" s="1"/>
  <c r="T10" i="2"/>
  <c r="K19" i="2"/>
  <c r="G7" i="16" s="1"/>
  <c r="G11" i="16" s="1"/>
  <c r="G6" i="16"/>
  <c r="G10" i="16" s="1"/>
  <c r="I14" i="9"/>
  <c r="K17" i="2" l="1"/>
  <c r="K18" i="2" s="1"/>
  <c r="J14" i="9"/>
  <c r="L14" i="9" s="1"/>
  <c r="K14" i="9"/>
  <c r="AB333" i="14" l="1"/>
</calcChain>
</file>

<file path=xl/sharedStrings.xml><?xml version="1.0" encoding="utf-8"?>
<sst xmlns="http://schemas.openxmlformats.org/spreadsheetml/2006/main" count="2639" uniqueCount="713">
  <si>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</si>
  <si>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</si>
  <si>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</si>
  <si>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</si>
  <si>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</si>
  <si>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</si>
  <si>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</si>
  <si>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</si>
  <si>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</si>
  <si>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</si>
  <si>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</si>
  <si>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</si>
  <si>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</si>
  <si>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</si>
  <si>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</si>
  <si>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</si>
  <si>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</si>
  <si>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</si>
  <si>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</si>
  <si>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</si>
  <si>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</si>
  <si>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</si>
  <si>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</si>
  <si>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</si>
  <si>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</si>
  <si>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</si>
  <si>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</si>
  <si>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</si>
  <si>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</si>
  <si>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</si>
  <si>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</si>
  <si>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</si>
  <si>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</si>
  <si>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</si>
  <si>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</si>
  <si>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</si>
  <si>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</si>
  <si>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</si>
  <si>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</si>
  <si>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</si>
  <si>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</si>
  <si>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</si>
  <si>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</si>
  <si>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</si>
  <si>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</si>
  <si>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</si>
  <si>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</si>
  <si>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</si>
  <si>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</si>
  <si>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</si>
  <si>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</si>
  <si>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</si>
  <si>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</si>
  <si>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</si>
  <si>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</si>
  <si>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</si>
  <si>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</si>
  <si>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</si>
  <si>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</si>
  <si>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</si>
  <si>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</si>
  <si>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</si>
  <si>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</si>
  <si>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</si>
  <si>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</si>
  <si>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</si>
  <si>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</si>
  <si>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</si>
  <si>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</si>
  <si>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</si>
  <si>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</si>
  <si>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</si>
  <si>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</si>
  <si>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</si>
  <si>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</si>
  <si>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</si>
  <si>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</si>
  <si>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</si>
  <si>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</si>
  <si>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</si>
  <si>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</si>
  <si>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</si>
  <si>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</si>
  <si>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</si>
  <si>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</si>
  <si>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</si>
  <si>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</si>
  <si>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</si>
  <si>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</si>
  <si>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</si>
  <si>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</si>
  <si>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</si>
  <si>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</si>
  <si>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</si>
  <si>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</si>
  <si>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</si>
  <si>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</si>
  <si>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</si>
  <si>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</si>
  <si>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</si>
  <si>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</si>
  <si>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</si>
  <si>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</si>
  <si>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</si>
  <si>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</si>
  <si>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</si>
  <si>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</si>
  <si>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</si>
  <si>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</si>
  <si>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</si>
  <si>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</si>
  <si>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</si>
  <si>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</si>
  <si>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</si>
  <si>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</si>
  <si>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</si>
  <si>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</si>
  <si>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</si>
  <si>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</si>
  <si>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</si>
  <si>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</si>
  <si>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</si>
  <si>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</si>
  <si>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</si>
  <si>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</si>
  <si>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</si>
  <si>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</si>
  <si>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</si>
  <si>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</si>
  <si>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</si>
  <si>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</si>
  <si>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</si>
  <si>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</si>
  <si>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</si>
  <si>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</si>
  <si>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</si>
  <si>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</si>
  <si>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</si>
  <si>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</si>
  <si>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</si>
  <si>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</si>
  <si>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</si>
  <si>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</si>
  <si>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</si>
  <si>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</si>
  <si>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</si>
  <si>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</si>
  <si>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</si>
  <si>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</si>
  <si>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</si>
  <si>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</si>
  <si>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>30/06/22</t>
  </si>
  <si>
    <t>30/10/22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</si>
  <si>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</si>
  <si>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</si>
  <si>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</si>
  <si>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</si>
  <si>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30/11/22</t>
  </si>
  <si>
    <t>17/08/22</t>
  </si>
  <si>
    <t>-</t>
  </si>
  <si>
    <t>4/10/2022</t>
  </si>
  <si>
    <t>04/10/22</t>
  </si>
  <si>
    <t>30/03/2023</t>
  </si>
  <si>
    <t>30/03/23</t>
  </si>
  <si>
    <t>22/08/2022</t>
  </si>
  <si>
    <t>30/11/2022</t>
  </si>
  <si>
    <t>16/10/22</t>
  </si>
  <si>
    <t>30/09/22</t>
  </si>
  <si>
    <t>Artemether 20 mg+Lumefantrine 120mg Tablets, 35+kg, blister 24x1</t>
  </si>
  <si>
    <t>GRAND TOTAL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</si>
  <si>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</si>
  <si>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</si>
  <si>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</si>
  <si>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</si>
  <si>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>30/12/2022</t>
  </si>
  <si>
    <t>31/12/2022</t>
  </si>
  <si>
    <t xml:space="preserve">KOKOPO </t>
  </si>
  <si>
    <t>22.11.2022</t>
  </si>
  <si>
    <t>28.11.2022</t>
  </si>
  <si>
    <t>30.03.23</t>
  </si>
  <si>
    <t>05.12.2022</t>
  </si>
  <si>
    <t>30.12.2022</t>
  </si>
  <si>
    <t>30.03.2023</t>
  </si>
  <si>
    <t>28/02/23</t>
  </si>
  <si>
    <t>12/01/23</t>
  </si>
  <si>
    <t>900,000 FULLY RECEIVED ON 30.12.22</t>
  </si>
  <si>
    <t>2023 Order; Fully supplied - received on 21.02.23</t>
  </si>
  <si>
    <t>30/07/23</t>
  </si>
  <si>
    <t>11/05/23</t>
  </si>
  <si>
    <t>08/05/23</t>
  </si>
  <si>
    <t>Fully supplied on 15.05 - 19.05.2023</t>
  </si>
  <si>
    <t>15/04/23</t>
  </si>
  <si>
    <t>26/06/23</t>
  </si>
  <si>
    <t>03/07/23</t>
  </si>
  <si>
    <t>30/06/23</t>
  </si>
  <si>
    <t>30/10/23</t>
  </si>
  <si>
    <t>12/06/23</t>
  </si>
  <si>
    <t>13/06/23</t>
  </si>
  <si>
    <t>Borneo</t>
  </si>
  <si>
    <t>Modern</t>
  </si>
  <si>
    <t>31/07/23</t>
  </si>
  <si>
    <t>not received but not shown on outstanding POs</t>
  </si>
  <si>
    <t xml:space="preserve">CPL: Wewak AMS is yet to record this as received; </t>
  </si>
  <si>
    <t>30/11/23</t>
  </si>
  <si>
    <t>21/09/23</t>
  </si>
  <si>
    <t>11/09/23</t>
  </si>
  <si>
    <t>19/09/23</t>
  </si>
  <si>
    <t>30/03/24</t>
  </si>
  <si>
    <t>26/09/23</t>
  </si>
  <si>
    <t>10570030</t>
  </si>
  <si>
    <t>14/11/23</t>
  </si>
  <si>
    <t>15/11/23</t>
  </si>
  <si>
    <t>19/12/23</t>
  </si>
  <si>
    <t>SUPPLIER</t>
  </si>
  <si>
    <t>360 Partially received on: 08.09.2023; outstanding 20,880 fully supplied on 08.09.2023</t>
  </si>
  <si>
    <t>CPL</t>
  </si>
  <si>
    <t>Summary Table of Outsanding NDOH Orders of ACTs, RDTs and Primaquine</t>
  </si>
  <si>
    <t>166 outstanding fully received on date yet to confirm in mSupply</t>
  </si>
  <si>
    <r>
      <t xml:space="preserve">Received 7330 on the 14.12.2022; </t>
    </r>
    <r>
      <rPr>
        <sz val="9"/>
        <color rgb="FFFF0000"/>
        <rFont val="Calibri"/>
        <family val="2"/>
        <scheme val="minor"/>
      </rPr>
      <t>670 outsanding appeared to have been received  on date yet to confirm in mSupply</t>
    </r>
  </si>
  <si>
    <t>Supreme</t>
  </si>
  <si>
    <t>ACT6 Equivalents</t>
  </si>
  <si>
    <t>Fully received on the 20.02.2024</t>
  </si>
  <si>
    <t xml:space="preserve">280,000 fully received on 20.11.2023 </t>
  </si>
  <si>
    <t>59,880 outsanding appeared to have been received  on date yet to confirm in mSupply</t>
  </si>
  <si>
    <t>60,000 outsanding appeared to have been received  on date yet to confirm in mSupply</t>
  </si>
  <si>
    <t xml:space="preserve">PQ Fully received on the 26.01.2024 </t>
  </si>
  <si>
    <t>PQ 435,800 fully received on 26.01.2024</t>
  </si>
  <si>
    <r>
      <t xml:space="preserve">80,800 received on 13.10.22; </t>
    </r>
    <r>
      <rPr>
        <sz val="9"/>
        <color rgb="FFFF0000"/>
        <rFont val="Calibri"/>
        <family val="2"/>
        <scheme val="minor"/>
      </rPr>
      <t>538,700 fully received on 12.05.2023</t>
    </r>
  </si>
  <si>
    <t>Quinien Fully received on the 20.02.2024 from Modern</t>
  </si>
  <si>
    <t>PQ  received on the 14.02.2024 from Borneo</t>
  </si>
  <si>
    <t>PQ Fully received on the 20.02.2024 from Modern</t>
  </si>
  <si>
    <t>RDT Fully received on the 20.02.2024 from Modern</t>
  </si>
  <si>
    <t>72,000 received on 23.05.2023' ; balance  fully received on the 03.04.2024</t>
  </si>
  <si>
    <t>fully received on the 04.04.2024</t>
  </si>
  <si>
    <t>Renewal of RFQ_26.05.23; 230,000/265,500 received on 05.12.2023; balance fully supplied on the 15.03.2024</t>
  </si>
  <si>
    <t>90000/250000 received on 05.12.2023; balance fully supplied on the 15.03.2024</t>
  </si>
  <si>
    <t>PQ Fully supplied from Borneo on the 04.04.2024</t>
  </si>
  <si>
    <t>Fully received on the 23.04.2024</t>
  </si>
  <si>
    <t>fully received on the 02.04.2024</t>
  </si>
  <si>
    <t>SP Fully received on the 14.03.2024 from Modern</t>
  </si>
  <si>
    <t>RDT Fully received on the 28.03.2024 from Modern</t>
  </si>
  <si>
    <t>RDT Fully received on the 13.03.2024 from Modern</t>
  </si>
  <si>
    <t>Borneo; Fully received 80mg inj on the 22.02.2024</t>
  </si>
  <si>
    <t>PQ Fully received from modern on the 20.02.2024</t>
  </si>
  <si>
    <t>PQ Fully received on the 22.02.2024 from Borneo</t>
  </si>
  <si>
    <t>Quinine Tabs Fully received on the 20.02.2024 from Modern</t>
  </si>
  <si>
    <t>RDT fully received from Modern on the 08.03.2024</t>
  </si>
  <si>
    <t>19/03/24</t>
  </si>
  <si>
    <t>30/04/24</t>
  </si>
  <si>
    <t>21/03/24</t>
  </si>
  <si>
    <t>Borneo; Partially Received on the 12.12.2023; balance 6115 inj 80mg were delivered on the 27.02.2024 from Borneo</t>
  </si>
  <si>
    <t>9000 received on the 02.02.2024 from Brneo; 71000 fully received on 27.02.2024</t>
  </si>
  <si>
    <t>7200 40mg inj partially receved from Borneo on the 02.02.2024; 68,268 balance fully supplied on the 27.02.2024</t>
  </si>
  <si>
    <t>71,900/150,000 partially received on: 14.11.2023; Balance of 71,800 fully supplied on the 12.03.2024</t>
  </si>
  <si>
    <t>Full PQ stock received from Borneo on the 27.02.2024</t>
  </si>
  <si>
    <t>Fully PQ Stock received on the 12.03.2024 from Modern</t>
  </si>
  <si>
    <t>DATE RECEIVED</t>
  </si>
  <si>
    <t>6,400 received on  12.11.22.; 100 outstanding fully received on date yet to confirm in msupply</t>
  </si>
  <si>
    <t>6,470 received on 12.11.22; 30 outstanding fully received on date yet to confirm in msupply</t>
  </si>
  <si>
    <t>13.03.2024</t>
  </si>
  <si>
    <t>Fully received on the 14.03.2024 AL12</t>
  </si>
  <si>
    <t>Fully received on the 14.03.2024 AL24</t>
  </si>
  <si>
    <t>Fully received on the 14.03.2024 AL18</t>
  </si>
  <si>
    <t xml:space="preserve"> </t>
  </si>
  <si>
    <t>Fully received on the 03.04.2024</t>
  </si>
  <si>
    <t>09/04/24</t>
  </si>
  <si>
    <t>30/05/24</t>
  </si>
  <si>
    <t>16/04/24</t>
  </si>
  <si>
    <t>Fully received on the 17.04.2024</t>
  </si>
  <si>
    <t>11/04/24</t>
  </si>
  <si>
    <t>2,160 received on 01.11.22; 13,050 was received on the 08.03.23; 720 outstanding fully received on date yet to confirm in mSupply</t>
  </si>
  <si>
    <t>08/05/2023</t>
  </si>
  <si>
    <t>30/07/2023</t>
  </si>
  <si>
    <t>AL18: 13,530/21,240 partially received on14.03.2024</t>
  </si>
  <si>
    <t>548,900 fully received on the 19.04.2024</t>
  </si>
  <si>
    <t>28/04/24</t>
  </si>
  <si>
    <t>30/06/24</t>
  </si>
  <si>
    <t>30/07/24</t>
  </si>
  <si>
    <t>Modern; Fully received on 11.04.2024</t>
  </si>
  <si>
    <t>Borneo; Fully received on the 17.04.2024</t>
  </si>
  <si>
    <t>Fully received on the 29.02.2024</t>
  </si>
  <si>
    <t>25/04/24</t>
  </si>
  <si>
    <t>29/04/24</t>
  </si>
  <si>
    <t>total in Mos</t>
  </si>
  <si>
    <t>RAM/GF</t>
  </si>
  <si>
    <t>fully received Art Inj 60mg on date: 08th of May 2024</t>
  </si>
  <si>
    <t>fully received on date: 09.05.2024</t>
  </si>
  <si>
    <t>fully received on date: 14.05.2024</t>
  </si>
  <si>
    <t>modern; AL24 fully received on date: 08.05.2024</t>
  </si>
  <si>
    <t>modern; AL12 fully received on date: 08.05.2024</t>
  </si>
  <si>
    <t>98,000 PQ Partially received on the 11.03.2024 from Supreme Pharma; fully supplied on the 28.05.2024</t>
  </si>
  <si>
    <t>573000/1,000,000 partially received on: 14.05.2024; remainder fully supplied on 28.05.2024</t>
  </si>
  <si>
    <t>PQ from Supreme; Fully received on the 28.05.2024</t>
  </si>
  <si>
    <t>PQ from Borneo; Partially receiveid on the 16.05.2024</t>
  </si>
  <si>
    <t>PQ from Modern 2024; Fully received on the 25.06.2024</t>
  </si>
  <si>
    <t>AL18 Partially received on the 14.03.2024; Fully supplied on the 30.05.2024</t>
  </si>
  <si>
    <t>Fully received on the 30.05.2024</t>
  </si>
  <si>
    <t>Fully received on the 27.05.2024</t>
  </si>
  <si>
    <t>SP Fully received on the 28.05.2024</t>
  </si>
  <si>
    <t>PQ fully received on the 24.05.2024</t>
  </si>
  <si>
    <t>Fully received artesunate inj on the 31.05.2024</t>
  </si>
  <si>
    <t>Remainder PQ fully received on 03.06.2024;</t>
  </si>
  <si>
    <t>PQ Fully received on the 19.06.2024</t>
  </si>
  <si>
    <t>Fully received Artesunate inj on the 05.06.2024</t>
  </si>
  <si>
    <t>Fully received on the 16.05.2024</t>
  </si>
  <si>
    <t>Borneo; Fully received on the 23.05.2024</t>
  </si>
  <si>
    <t>Fully received PQ on the 22.05.2024 from Borneo;</t>
  </si>
  <si>
    <t>Fully received from Modern on the 22.05.2024</t>
  </si>
  <si>
    <t>Modern; RDT Fully received on the 31.05.2024</t>
  </si>
  <si>
    <t>63,225/200,000 RDT received from Modern on 20.02.2024; balance fully supplied on the 23.05.2024</t>
  </si>
  <si>
    <t>Fully received on the 24th of July 2024 from Borneo</t>
  </si>
  <si>
    <t xml:space="preserve">OTHER ANTIMALARIALS - STOCK AND PROCUREMENT SUMMARY OF NDoH MEDICAL SUPPLIES BRANCH </t>
  </si>
  <si>
    <t>P45 - RAM CR</t>
  </si>
  <si>
    <t>28/02/2028</t>
  </si>
  <si>
    <t>P39_-_RAM_CR</t>
  </si>
  <si>
    <t>P25-RAM STORE</t>
  </si>
  <si>
    <t>NAA24134A</t>
  </si>
  <si>
    <t>R15</t>
  </si>
  <si>
    <t>R13</t>
  </si>
  <si>
    <t>31/10/2026</t>
  </si>
  <si>
    <t>30/06/2026</t>
  </si>
  <si>
    <t>04/08/24</t>
  </si>
  <si>
    <t>30/03/25</t>
  </si>
  <si>
    <t>30/10/24</t>
  </si>
  <si>
    <t xml:space="preserve">ACT6 Fully received on 02.08.2024; </t>
  </si>
  <si>
    <t xml:space="preserve">ACT12 Fully received on 02.08.2024; </t>
  </si>
  <si>
    <t xml:space="preserve">ACT18 Fully received on 02.08.2024; </t>
  </si>
  <si>
    <t xml:space="preserve">ACT24 Fully received on 02.08.2024; </t>
  </si>
  <si>
    <t>ACT 6 Fully received on the 05.08.2024</t>
  </si>
  <si>
    <t>ACT 12 Fully received on the 05.08.2024</t>
  </si>
  <si>
    <t>ACT 18 Fully received on the 05.08.2024</t>
  </si>
  <si>
    <t>ACT 24 Fully received on the 05.08.2024</t>
  </si>
  <si>
    <t>PQs Fully received on the 20.07.2024 from Borneo</t>
  </si>
  <si>
    <t>AL6, Borneo; Fully received on the 08.08.2024</t>
  </si>
  <si>
    <t>3345 / 3347</t>
  </si>
  <si>
    <t>167772411 / 167772409</t>
  </si>
  <si>
    <t xml:space="preserve">4195 / 4193 </t>
  </si>
  <si>
    <t>3354 / 3352</t>
  </si>
  <si>
    <t>3324 / 3322</t>
  </si>
  <si>
    <t>MoS</t>
  </si>
  <si>
    <t>ACTs</t>
  </si>
  <si>
    <t>RDTs</t>
  </si>
  <si>
    <t>PQs</t>
  </si>
  <si>
    <t>28/02/2027</t>
  </si>
  <si>
    <t>30/04/2027</t>
  </si>
  <si>
    <t>Fully received on the 08.09.2024</t>
  </si>
  <si>
    <t>fully received on 08.09.2024</t>
  </si>
  <si>
    <t>Partially received some PQ on the 12.06.2024; fully received on the 18.09.2024</t>
  </si>
  <si>
    <t>Fully received on the 14&amp;15 of March 2024</t>
  </si>
  <si>
    <t>20/08/24</t>
  </si>
  <si>
    <t>30/08/24</t>
  </si>
  <si>
    <t>Fully received from Supreme Pharma on 16.08.2024</t>
  </si>
  <si>
    <t>Modern; Fully received on the 21.08.2024</t>
  </si>
  <si>
    <t>Borneo; Fully received on 13.08.2024</t>
  </si>
  <si>
    <t xml:space="preserve"> AL12Borneo; partially received on 08.08.2024; Fully received on 13.08.2024</t>
  </si>
  <si>
    <t>AL18 Borneo; partially received on 08.08.2024;  partially received on 08.08.2024</t>
  </si>
  <si>
    <t xml:space="preserve">AL24 Borneo; partially received on 08.08.2024 partially received on 08.08.2024 </t>
  </si>
  <si>
    <t>Fully receiveived on the 14.09.2024</t>
  </si>
  <si>
    <t>Fully received on the 13.08.2024</t>
  </si>
  <si>
    <t>HWE084001</t>
  </si>
  <si>
    <t>31/12/2026</t>
  </si>
  <si>
    <t>D1APH002</t>
  </si>
  <si>
    <t>HWE094015</t>
  </si>
  <si>
    <t>31/01/2027</t>
  </si>
  <si>
    <t>HWE114003</t>
  </si>
  <si>
    <t>KE24147</t>
  </si>
  <si>
    <t>HWE104004</t>
  </si>
  <si>
    <t>20/08/2024</t>
  </si>
  <si>
    <t>Partly Received 120,000 on 13.03.2023; 48,750 received in mSupply on; 15,000 received on 16.04.2024; Final parts received on 01.10.24</t>
  </si>
  <si>
    <t>Fully received in July 2024</t>
  </si>
  <si>
    <t>Fully received in August 2024</t>
  </si>
  <si>
    <t>total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</si>
  <si>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</si>
  <si>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08.2024 order from Modern; partly received on the 20.08.2024; outstanding (191875) fully recived on the 03.12.2024</t>
  </si>
  <si>
    <t>08.2024 order from Borneo; Fully received on the 17.10.2024</t>
  </si>
  <si>
    <t>03/12/24</t>
  </si>
  <si>
    <t>30/06/25</t>
  </si>
  <si>
    <t>30/08/25</t>
  </si>
  <si>
    <t>Modern; partially received on the 18.09.2024; Outstanding 3300 received on the 05.11.2024</t>
  </si>
  <si>
    <t>Modern 720 first received on the 05.11.24; 9330 later received on the 02.12.24</t>
  </si>
  <si>
    <t>Modern; partially received on the 18.09.2024; Outstanding 2880 received on the 05.11.2024</t>
  </si>
  <si>
    <t>New 08.2024 orders from Borneo; Fully received on the 12.11.2024</t>
  </si>
  <si>
    <t>23/09/24</t>
  </si>
  <si>
    <t>30/11/24</t>
  </si>
  <si>
    <t>New 2024 orders from Bormeo; Fully received on the 15.10.2024</t>
  </si>
  <si>
    <t>New 2024 orders from Bormeo; Fully received on the 16.10.24</t>
  </si>
  <si>
    <t>PQ Fully received on the 10.10.2024 from Borneo</t>
  </si>
  <si>
    <t>Modern; Fully received on 11.04.2024; fully received on the 21.10.2024</t>
  </si>
  <si>
    <t>14/10/24</t>
  </si>
  <si>
    <t>New 2024 Orders from Borneo (Disaster relief); Fully received on the 01.11.2024</t>
  </si>
  <si>
    <t>Modern; Partially received on the 07.06.2024; Outstanding 2670 fully received on 17.10.24</t>
  </si>
  <si>
    <t>Modern; Partially received on the 07.06.2024; 14040 Fully received on 17.10.24</t>
  </si>
  <si>
    <t>117,500 received on 18.01.2023; Outstanding fully received on the 07.11.2024</t>
  </si>
  <si>
    <t>Modern; partially received on the 11.06.2024; Outstg fully received on the 07.11.2024</t>
  </si>
  <si>
    <t>Modern; partially received on the 11.06.2024; Outsg fully received on the 07.11.24</t>
  </si>
  <si>
    <t>modern; 24270/27,150 AL6  partially receiced on date: 08.05.2024; Outsg 1440 fully received on the 13.11.24</t>
  </si>
  <si>
    <t>Fully received on the 05.12.2024</t>
  </si>
  <si>
    <t>modern; Fully received on the 13.11.2024</t>
  </si>
  <si>
    <t>Modern; partially received on the 11.06.2024; 8460 fully received on the 13.11.2024</t>
  </si>
  <si>
    <t>CPL; PQ 794800/870000 partially received on date: 15.05.2024; Outsg fully received on the 31.10.24</t>
  </si>
  <si>
    <r>
      <t>Modern; Partially received on the 21.08.2024;</t>
    </r>
    <r>
      <rPr>
        <sz val="9"/>
        <color rgb="FFFF0000"/>
        <rFont val="Calibri"/>
        <family val="2"/>
        <scheme val="minor"/>
      </rPr>
      <t xml:space="preserve"> 8700 fully received on the 14.11.2024</t>
    </r>
  </si>
  <si>
    <r>
      <t xml:space="preserve">New 2024 orders from Bormeo; </t>
    </r>
    <r>
      <rPr>
        <sz val="9"/>
        <color rgb="FFFF0000"/>
        <rFont val="Calibri"/>
        <family val="2"/>
        <scheme val="minor"/>
      </rPr>
      <t>Fully received on the 12.11.2024</t>
    </r>
  </si>
  <si>
    <r>
      <t>New 2024 orders from Bormeo;</t>
    </r>
    <r>
      <rPr>
        <sz val="9"/>
        <color rgb="FFFF0000"/>
        <rFont val="Calibri"/>
        <family val="2"/>
        <scheme val="minor"/>
      </rPr>
      <t xml:space="preserve"> Fully received on the 12.11.2024</t>
    </r>
  </si>
  <si>
    <t>Received 48,000 PQ; 45,200 outstanding fully received on date yet to confirm in mSupply</t>
  </si>
  <si>
    <t>728 vials received on 16.03.2023; 19,272 outstadning vials received on date yet to confirm in mSupply</t>
  </si>
  <si>
    <t>59,760 Received on: 28.04.2023; 240 blisters outstanding fully received on date yet to confirm in mSupply</t>
  </si>
  <si>
    <t>New 2024 orders from Bormeo-EXTENSION OF RFQ#Q23 mRDT</t>
  </si>
  <si>
    <r>
      <t>AL6 from Modern 2024; partially received on the 21.06.2024 &amp; 26.06.2024; From exstock #23;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</si>
  <si>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>AL12 from Modern 2024; partially received on the 21.06.2024 &amp; 26.06.2024;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</si>
  <si>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</si>
  <si>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10/12/24</t>
  </si>
  <si>
    <t>11/12/24</t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</si>
  <si>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</si>
  <si>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</si>
  <si>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</si>
  <si>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</si>
  <si>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</si>
  <si>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</si>
  <si>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</si>
  <si>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50,000 received on 01.11.22; 165000 received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</si>
  <si>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</si>
  <si>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</si>
  <si>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</si>
  <si>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</si>
  <si>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</si>
  <si>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NAD2487A</t>
  </si>
  <si>
    <t>NAD2489A</t>
  </si>
  <si>
    <t>NAD2488A</t>
  </si>
  <si>
    <t>NAD2486A</t>
  </si>
  <si>
    <t>R16</t>
  </si>
  <si>
    <t>P23-RAM STORE</t>
  </si>
  <si>
    <t>P26-RAM STORE</t>
  </si>
  <si>
    <t>NAA24345A</t>
  </si>
  <si>
    <t>30/08/2028</t>
  </si>
  <si>
    <t>NAA24346A</t>
  </si>
  <si>
    <t>NAA24348A</t>
  </si>
  <si>
    <t>NAA24343A</t>
  </si>
  <si>
    <t>NAA24350A</t>
  </si>
  <si>
    <t>R18</t>
  </si>
  <si>
    <t>R17</t>
  </si>
  <si>
    <t>R11</t>
  </si>
  <si>
    <t>R09</t>
  </si>
  <si>
    <t>P38_-_RAM_CR</t>
  </si>
  <si>
    <t>P33 - RAM Cr</t>
  </si>
  <si>
    <t>13/02/25</t>
  </si>
  <si>
    <t>30/10/25</t>
  </si>
  <si>
    <t>18/11/24</t>
  </si>
  <si>
    <t>30/12/24</t>
  </si>
  <si>
    <t>PO Finalised by WV altough not received in system</t>
  </si>
  <si>
    <t>RFQ24 ExStock from Savi Meds,; Fully received on the 04.02.25</t>
  </si>
  <si>
    <t>Finalised by WV admin on the 19.12.24 altough not received in the system</t>
  </si>
  <si>
    <t>RFQ#Q24.011 EX STOCK SUPPLIES; fully received on the 06.02.25</t>
  </si>
  <si>
    <t>WV finalised at 19.12.2024 altough not received in mSupply</t>
  </si>
  <si>
    <r>
      <t xml:space="preserve">PO#1811 DP: 4224 Partially received on: 17.08.2023; </t>
    </r>
    <r>
      <rPr>
        <sz val="9"/>
        <color rgb="FFC00000"/>
        <rFont val="Calibri"/>
        <family val="2"/>
        <scheme val="minor"/>
      </rPr>
      <t>WV finalised at 19.12.2024 altough 1860 balance not received in mSupply</t>
    </r>
  </si>
  <si>
    <r>
      <t xml:space="preserve">PO#1811 Quinine Tabs: 96,300 partially received on: 17.08.23; </t>
    </r>
    <r>
      <rPr>
        <sz val="9"/>
        <color rgb="FFFF0000"/>
        <rFont val="Calibri"/>
        <family val="2"/>
        <scheme val="minor"/>
      </rPr>
      <t xml:space="preserve">100 tabs not received in the system; </t>
    </r>
    <r>
      <rPr>
        <sz val="9"/>
        <color rgb="FFC00000"/>
        <rFont val="Calibri"/>
        <family val="2"/>
        <scheme val="minor"/>
      </rPr>
      <t>WV finalised at 19.12.2024 altough 100tabs balance not received in mSupply</t>
    </r>
  </si>
  <si>
    <t>new order for yr 2025; Fully received on the 20.02.25</t>
  </si>
  <si>
    <t>New 08.2024 orders from Modern; Fully received on the 25.02.25</t>
  </si>
  <si>
    <t>New 2025 Order; Fully received on the 11.03.2025</t>
  </si>
  <si>
    <t>New 2024 orders from Modern for disaster relief; Initially received on 83,125 the 27.01.2025 ; 116,875 outstanding RDTs fully supplied on 24.02.2025</t>
  </si>
  <si>
    <t>Fully received on the 10.03.2025</t>
  </si>
  <si>
    <t>Modern; partially received on the 11.06.2024; 2730 partially received on 07.11.2024; outstanding 5130 AL12s fully received on the 10.03.25</t>
  </si>
  <si>
    <t>16/03/25</t>
  </si>
  <si>
    <t>17/03/25</t>
  </si>
  <si>
    <t>DIAPH002</t>
  </si>
  <si>
    <t>D1APH005</t>
  </si>
  <si>
    <t>BIAPH002</t>
  </si>
  <si>
    <t>75K13245</t>
  </si>
  <si>
    <t>H006D004D</t>
  </si>
  <si>
    <t>Fully received on the 12th of April 2025</t>
  </si>
  <si>
    <t>02/04/25</t>
  </si>
  <si>
    <t>30/04/25</t>
  </si>
  <si>
    <t>Fully supplied on the 12.03.25 from Borneo</t>
  </si>
  <si>
    <t>260,400 fully supplied on the 24.03.25</t>
  </si>
  <si>
    <t>Fully received on the 16.04.2025 from Modern Pharmacy</t>
  </si>
  <si>
    <t>10/04/25</t>
  </si>
  <si>
    <r>
      <t xml:space="preserve">3489 Received on the 05.12.2022; </t>
    </r>
    <r>
      <rPr>
        <sz val="9"/>
        <color theme="5"/>
        <rFont val="Calibri"/>
        <family val="2"/>
        <scheme val="minor"/>
      </rPr>
      <t xml:space="preserve"> 11 blisters outstanding fully received on date yet to confirn in mSupply </t>
    </r>
  </si>
  <si>
    <t>Modern; partially received on the 18.09.2024; outstaning 2880  received on 05.11.2024; outstanding 300 finally fully received on the 04.04.25</t>
  </si>
  <si>
    <t>New 08.2024 orders from Modern; 28,800 partly received on the 19/11/24; Fully received from Modern on 09.04.25</t>
  </si>
  <si>
    <t>Fully receovec on the 11.04.25</t>
  </si>
  <si>
    <t>11/04/25</t>
  </si>
  <si>
    <t>new order for yr 2025; Fully received on the 14.05.2025 from Modern Pharm. Exp Date: 28.02.2027</t>
  </si>
  <si>
    <t>Fully received on the 24.04.25 from Savimeds</t>
  </si>
  <si>
    <t>200,000/200,000 fully received on the 02.05.25</t>
  </si>
  <si>
    <t>New 2025 Order; Fully received on the 05.05.25 from MedTech LTD 30,000/30,000</t>
  </si>
  <si>
    <t>RFQ#Q25.001 EX STOCK SUPPLIES; fully received on the 25.04.2025</t>
  </si>
  <si>
    <t>RFQ#Q25.001 EX STOCK SUPPLIES; 52,770 fully received on 25.04.25</t>
  </si>
  <si>
    <t>15,000 Fully Received from Borneo on the 25.04.2025</t>
  </si>
  <si>
    <t>20,000 Fully Received from Borneo on the 25.04.2025</t>
  </si>
  <si>
    <t>Modern; Fully received on the 25.04.25</t>
  </si>
  <si>
    <t>New 03.12.2024 from Modern for year 2025; 19,500/250,000 received on the 17.02.25; 230,000 fully received on 27.05.2025</t>
  </si>
  <si>
    <t>Borneo; 955,500/1000,000 received on the 14.05.25; otsg 44,500 fully received on 27.05.2025</t>
  </si>
  <si>
    <t>New 2024 orders from Modern; fully received on: 27.05.2025</t>
  </si>
  <si>
    <t>New 2024 Orders from Modern for year 2025; fully received on:27.05.2025</t>
  </si>
  <si>
    <t>08.2024 order from Borneo; Fully received on the 11.06.2025</t>
  </si>
  <si>
    <t>new order for yr 2025; 22000/30000 received on the 04.04.2025; outstanding 8000 fully received on 06.06.25</t>
  </si>
  <si>
    <t>New13.02.25 from Modern for year 2025; 94,500/250,000 partially received on the 29.05.2025; Outstanding 155,500 RDTs received</t>
  </si>
  <si>
    <t>New 2024 orders from Bormeo; fully received on 27.06.25</t>
  </si>
  <si>
    <t xml:space="preserve">New 2024 Orders from Modern for yr 2025; fully received </t>
  </si>
  <si>
    <t>Fully received on the 27.06.25</t>
  </si>
  <si>
    <t>New Modern RDT Orders for yr 2025; partially received on the 24.03.25; Outstanding 111,375 fully received on the 25.06.25</t>
  </si>
  <si>
    <t>Borneo; Fully received on 25.06.25</t>
  </si>
  <si>
    <t>New13.02.25 from Modern for year 2025; Fully received on the 01.07.2025</t>
  </si>
  <si>
    <t>New 08.2024 orders from Borneo; Fully received on the 26.06.25</t>
  </si>
  <si>
    <t>New 2025 Order; Fully received on the 01.07.2025</t>
  </si>
  <si>
    <t>New 2025 Order; Fully received from Medtec on the 15.07.2025</t>
  </si>
  <si>
    <t>Modern; Partially received on the 07.06.2024; 1440 partially received on 17.10.2024; 4950 were received on the 15.04.25; OS 1,710 fully received on 17.07.2025</t>
  </si>
  <si>
    <t>New 2024 orders from Bormeo; 40,500 received on the 15.10.2024; OS 6000 fully received on the 02.07.2025</t>
  </si>
  <si>
    <t>New 2024 Orders from Modern for yr 2025 oder date 13.02.25; Fully received on the 17.07.2025</t>
  </si>
  <si>
    <t>New 2025 Order; 5,755 OS received fully on the 08.07.2025</t>
  </si>
  <si>
    <t>RFQ#Q25.001 EX STOCK SUPPLIES partially received 18,420/42,600 from Modern on 25.04.25; OS 24,180 fully received on the 24.07.2025</t>
  </si>
  <si>
    <t>RFQ#Q25.001 EX STOCK SUPPLIES; fully received on the 24.07.2025</t>
  </si>
  <si>
    <t>Fully received on the 08.07.2025</t>
  </si>
  <si>
    <t>Modern; Partially received on the 07.06.2024; 7110 fully received on the 17.07.25</t>
  </si>
  <si>
    <t>New 2025 Order' Fully received on the 29.07.2025 from MedTech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</si>
  <si>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</si>
  <si>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</si>
  <si>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</si>
  <si>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</si>
  <si>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</si>
  <si>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</si>
  <si>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</si>
  <si>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</si>
  <si>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</si>
  <si>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</si>
  <si>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</si>
  <si>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</si>
  <si>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</si>
  <si>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</si>
  <si>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</si>
  <si>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</si>
  <si>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New Modern RDT Orders for yr 2025; Fully received on the 24.07.2025; 52,500 received  on the 28.08.2025 from Modern Pharma</t>
  </si>
  <si>
    <t>Fully received on the 20.08.2025 from Savimeds</t>
  </si>
  <si>
    <t>New 2025 Order; Fully received on the 20.08.25 fron Savimeds</t>
  </si>
  <si>
    <t>HWE084156</t>
  </si>
  <si>
    <t>HWE094156</t>
  </si>
  <si>
    <t>HWE104156</t>
  </si>
  <si>
    <t>HWE104157</t>
  </si>
  <si>
    <t>HWE10415</t>
  </si>
  <si>
    <t>HWE114180</t>
  </si>
  <si>
    <t>060324</t>
  </si>
  <si>
    <t>H006001D</t>
  </si>
  <si>
    <t>H006E003D</t>
  </si>
  <si>
    <t>H006E001D</t>
  </si>
  <si>
    <t>30/11/2027</t>
  </si>
  <si>
    <t>HWE114157</t>
  </si>
  <si>
    <t>T35810</t>
  </si>
  <si>
    <t>31/03/2028</t>
  </si>
  <si>
    <t>D1APH007</t>
  </si>
  <si>
    <t>TIAPH001</t>
  </si>
  <si>
    <t>H006E002D</t>
  </si>
  <si>
    <t>HWE104005</t>
  </si>
  <si>
    <t>HOO6E003D</t>
  </si>
  <si>
    <t>New 2024 orders from Modern; 13.02.25 Fully received on the 13.08.2025</t>
  </si>
  <si>
    <t>Modern; Partially received on the 21.08.2024; 1440 outstanding received fully on the 13.08.2025</t>
  </si>
  <si>
    <t>Borneo; 150,900 received on the 27.06.25; Outstanding 1 mill PQ were fully delivered on the 24th of Sept.2025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</si>
  <si>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</si>
  <si>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</si>
  <si>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</si>
  <si>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</si>
  <si>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</si>
  <si>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</si>
  <si>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</si>
  <si>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</si>
  <si>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</si>
  <si>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</si>
  <si>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</si>
  <si>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</si>
  <si>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</si>
  <si>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</si>
  <si>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</si>
  <si>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</si>
  <si>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</si>
  <si>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</si>
  <si>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</si>
  <si>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</si>
  <si>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</si>
  <si>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</si>
  <si>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</si>
  <si>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</si>
  <si>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</si>
  <si>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</si>
  <si>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</si>
  <si>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</si>
  <si>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</si>
  <si>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</si>
  <si>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</si>
  <si>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</si>
  <si>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</si>
  <si>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</si>
  <si>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</si>
  <si>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</si>
  <si>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</si>
  <si>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</si>
  <si>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</si>
  <si>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</si>
  <si>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</si>
  <si>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</si>
  <si>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</si>
  <si>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</si>
  <si>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</si>
  <si>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</si>
  <si>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</si>
  <si>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</si>
  <si>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</si>
  <si>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</si>
  <si>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</si>
  <si>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</si>
  <si>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</si>
  <si>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</si>
  <si>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</si>
  <si>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</si>
  <si>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</si>
  <si>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</si>
  <si>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</si>
  <si>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</si>
  <si>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</si>
  <si>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</si>
  <si>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</si>
  <si>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</si>
  <si>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</si>
  <si>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</si>
  <si>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</si>
  <si>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</si>
  <si>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</si>
  <si>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</si>
  <si>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</si>
  <si>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</si>
  <si>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</si>
  <si>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</si>
  <si>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</si>
  <si>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</si>
  <si>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</si>
  <si>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</si>
  <si>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</si>
  <si>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</si>
  <si>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</si>
  <si>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</si>
  <si>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</si>
  <si>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</si>
  <si>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</si>
  <si>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</si>
  <si>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</si>
  <si>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</si>
  <si>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</si>
  <si>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</si>
  <si>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</si>
  <si>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</si>
  <si>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</si>
  <si>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</si>
  <si>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>03/11/25</t>
  </si>
  <si>
    <t>25/10/25</t>
  </si>
  <si>
    <t>24/10/25</t>
  </si>
  <si>
    <t>27/10/25</t>
  </si>
  <si>
    <t>30/04/26</t>
  </si>
  <si>
    <t>30/11/25</t>
  </si>
  <si>
    <t>18000/20000 received on the 20.08.2025</t>
  </si>
  <si>
    <t>New 2025 Order; Fully received on the 24.09.2025</t>
  </si>
  <si>
    <t>05/11/25</t>
  </si>
  <si>
    <t>Fully received on the 04.11.2025</t>
  </si>
  <si>
    <t>04/11/25</t>
  </si>
  <si>
    <t>Borneo; 998,900/1000 000 received on: 27.05.2025; 700 additional received on the 06.11.2025</t>
  </si>
  <si>
    <t>T1APH001</t>
  </si>
  <si>
    <t>HEW104157</t>
  </si>
  <si>
    <t>C1APH005</t>
  </si>
  <si>
    <t>HEW114157</t>
  </si>
  <si>
    <t>D1APH006</t>
  </si>
  <si>
    <t>T35809</t>
  </si>
  <si>
    <t>75J11245</t>
  </si>
  <si>
    <t>TBA</t>
  </si>
  <si>
    <t>T35809-10</t>
  </si>
  <si>
    <t>8 month stock expected.</t>
  </si>
  <si>
    <t>7 month stock expected</t>
  </si>
  <si>
    <t>6 month stock expected</t>
  </si>
  <si>
    <t>received on the 19.11.25</t>
  </si>
  <si>
    <t>Modern; 300,000 / 1000,000 received on the 27.05.2025; 532600 received on the 01.08.2025; last outstanding on the 11.11.2025</t>
  </si>
  <si>
    <t>fully received on the 24.11.2025</t>
  </si>
  <si>
    <t>12,500 received on the 13.11.2025</t>
  </si>
  <si>
    <t>Fully received on the 24.11.2025.</t>
  </si>
  <si>
    <t>Fully received 6210 on the 24.11.25</t>
  </si>
  <si>
    <t>Fully received on the 24.11.2025</t>
  </si>
  <si>
    <t>1140 received on the 24.11.25</t>
  </si>
  <si>
    <t>Fully received on the 24.11.25</t>
  </si>
  <si>
    <t>partly received on the 20th &amp; 24th Nov 2025</t>
  </si>
  <si>
    <t>Fully received on the 21.11.2025</t>
  </si>
  <si>
    <t>CIAPH005</t>
  </si>
  <si>
    <t>D1AP007</t>
  </si>
  <si>
    <t>C1APH002</t>
  </si>
  <si>
    <t>D1APH004</t>
  </si>
  <si>
    <t>C1APH004</t>
  </si>
  <si>
    <t>Fully received on the 08.12.2025</t>
  </si>
  <si>
    <t>Borneo; Fully received on the 24.11.2025</t>
  </si>
  <si>
    <t>15,000 received on 08.10.21; Outstanding 15000 Fully received on date yet to confirm</t>
  </si>
  <si>
    <t>7200 partially received on the 08.12.2025</t>
  </si>
  <si>
    <t>partly received on the 08.12.2025</t>
  </si>
  <si>
    <t>partially received on the 08.12.2025</t>
  </si>
  <si>
    <t>STOCK ON HAND IN PNG AS OF 19TH OF DECEMBER 2025</t>
  </si>
  <si>
    <t>STOCK ON HAND IN PNG AS OF 19th of DECEMBER 2025</t>
  </si>
  <si>
    <t>2 months stock expected</t>
  </si>
  <si>
    <t>37500/200000 received 30.10.2025-RFQ25; partially received in Jan 2026</t>
  </si>
  <si>
    <t>30th of January 2026</t>
  </si>
  <si>
    <t>STOCK ON HAND IN PNG AS OF 30TH of DECEMBER 2025</t>
  </si>
  <si>
    <t>10,000 Al 80mg fully received on the 30.12.2026</t>
  </si>
  <si>
    <t>75,600 partially received on the 08.01.2026</t>
  </si>
  <si>
    <t>5000 AL80mg fully received on the 12.12.2026</t>
  </si>
  <si>
    <t>partly received on the 20th Nov 2025; remaining 350,000 fully received on the 09.01.2026</t>
  </si>
  <si>
    <t>Al80mg fully recceived on the 11.12.2025</t>
  </si>
  <si>
    <t>25000 partly received on the 20.11.25; 212,500 fully received on the 09.01.2026</t>
  </si>
  <si>
    <t>5 months stock expected</t>
  </si>
  <si>
    <r>
      <t>2.  ACT 6 - Qty  </t>
    </r>
    <r>
      <rPr>
        <b/>
        <sz val="12"/>
        <color rgb="FF222222"/>
        <rFont val="Arial"/>
        <family val="2"/>
      </rPr>
      <t>249,000 Tabs</t>
    </r>
  </si>
  <si>
    <r>
      <t>3.  ACT 12 - Qty  </t>
    </r>
    <r>
      <rPr>
        <b/>
        <sz val="12"/>
        <color rgb="FF222222"/>
        <rFont val="Arial"/>
        <family val="2"/>
      </rPr>
      <t>450,000 Tabs</t>
    </r>
  </si>
  <si>
    <r>
      <t>4.  ACT 18 - Qty  </t>
    </r>
    <r>
      <rPr>
        <b/>
        <sz val="12"/>
        <color rgb="FF222222"/>
        <rFont val="Arial"/>
        <family val="2"/>
      </rPr>
      <t>285,000 Tabs</t>
    </r>
  </si>
  <si>
    <r>
      <t>5. ACT 24 - Qty  </t>
    </r>
    <r>
      <rPr>
        <b/>
        <sz val="12"/>
        <color rgb="FF222222"/>
        <rFont val="Arial"/>
        <family val="2"/>
      </rPr>
      <t>720,000 Tabs</t>
    </r>
  </si>
  <si>
    <t>STOCK ON HAND IN PNG AS OF 30TH OF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</si>
</sst>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dd/mm/yy;@"/>
    <numFmt numFmtId="173" formatCode="m/d/yy;@"/>
    <numFmt numFmtId="174" formatCode="[$]dd/mm/yyyy;@" x16r2:formatCode16="[$-en-PG,1]dd/mm/yyyy;@"/>
    <numFmt numFmtId="175" formatCode="_(* #,##0.0_);_(* \(#,##0.0\);_(* &quot;-&quot;??_);_(@_)"/>
    <numFmt numFmtId="176" formatCode="_-* #,##0.0_-;\-* #,##0.0_-;_-* &quot;-&quot;??_-;_-@_-"/>
    <numFmt numFmtId="177" formatCode="0.0"/>
    <numFmt numFmtId="178" formatCode="_(* #,##0.0_);_(* \(#,##0.0\);_(* &quot;-&quot;_);_(@_)"/>
  </numFmts>
  <fonts count="1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i/>
      <sz val="9"/>
      <color theme="8" tint="-0.249977111117893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70C0"/>
      <name val="Calibri"/>
      <family val="2"/>
      <scheme val="minor"/>
    </font>
    <font>
      <i/>
      <sz val="9"/>
      <color rgb="FF0070C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222222"/>
      <name val="Arial"/>
      <family val="2"/>
    </font>
    <font>
      <sz val="9"/>
      <color rgb="FFC00000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u val="singleAccounting"/>
      <sz val="9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FF3300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  <font>
      <sz val="9"/>
      <color rgb="FFFFFF00"/>
      <name val="Calibri"/>
      <family val="2"/>
      <scheme val="minor"/>
    </font>
    <font>
      <sz val="12"/>
      <color rgb="FF222222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7" fillId="0" borderId="0"/>
    <xf numFmtId="0" fontId="138" fillId="40" borderId="76" applyNumberFormat="0" applyAlignment="0" applyProtection="0"/>
  </cellStyleXfs>
  <cellXfs count="1359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8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0" fillId="13" borderId="1" xfId="0" applyFill="1" applyBorder="1" applyAlignment="1">
      <alignment vertical="center"/>
    </xf>
    <xf numFmtId="3" fontId="0" fillId="13" borderId="1" xfId="0" applyNumberFormat="1" applyFill="1" applyBorder="1" applyAlignment="1">
      <alignment horizontal="center" vertical="center"/>
    </xf>
    <xf numFmtId="3" fontId="0" fillId="13" borderId="1" xfId="0" applyNumberFormat="1" applyFill="1" applyBorder="1" applyAlignment="1">
      <alignment horizontal="center" vertical="center" wrapText="1"/>
    </xf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0" xfId="0" applyNumberFormat="1" applyFill="1" applyBorder="1" applyAlignment="1">
      <alignment horizontal="left"/>
    </xf>
    <xf numFmtId="168" fontId="0" fillId="0" borderId="51" xfId="0" applyNumberFormat="1" applyBorder="1"/>
    <xf numFmtId="3" fontId="4" fillId="19" borderId="49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49" xfId="0" applyNumberFormat="1" applyFont="1" applyFill="1" applyBorder="1" applyAlignment="1">
      <alignment horizontal="left"/>
    </xf>
    <xf numFmtId="3" fontId="0" fillId="13" borderId="50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0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0" xfId="0" applyNumberFormat="1" applyFont="1" applyFill="1" applyBorder="1" applyAlignment="1">
      <alignment horizontal="left"/>
    </xf>
    <xf numFmtId="3" fontId="4" fillId="26" borderId="50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0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0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0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167" fontId="17" fillId="25" borderId="18" xfId="1" applyNumberFormat="1" applyFont="1" applyFill="1" applyBorder="1"/>
    <xf numFmtId="167" fontId="17" fillId="25" borderId="0" xfId="1" applyNumberFormat="1" applyFont="1" applyFill="1" applyBorder="1"/>
    <xf numFmtId="167" fontId="17" fillId="25" borderId="19" xfId="1" applyNumberFormat="1" applyFont="1" applyFill="1" applyBorder="1"/>
    <xf numFmtId="169" fontId="17" fillId="25" borderId="18" xfId="1" quotePrefix="1" applyNumberFormat="1" applyFont="1" applyFill="1" applyBorder="1" applyAlignment="1">
      <alignment horizontal="center"/>
    </xf>
    <xf numFmtId="0" fontId="72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8" fontId="17" fillId="25" borderId="50" xfId="0" applyNumberFormat="1" applyFont="1" applyFill="1" applyBorder="1"/>
    <xf numFmtId="167" fontId="17" fillId="7" borderId="19" xfId="1" applyNumberFormat="1" applyFont="1" applyFill="1" applyBorder="1"/>
    <xf numFmtId="3" fontId="16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67" fontId="17" fillId="21" borderId="18" xfId="1" applyNumberFormat="1" applyFont="1" applyFill="1" applyBorder="1"/>
    <xf numFmtId="167" fontId="17" fillId="21" borderId="0" xfId="1" applyNumberFormat="1" applyFont="1" applyFill="1" applyBorder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70" fillId="21" borderId="0" xfId="1" applyNumberFormat="1" applyFont="1" applyFill="1" applyBorder="1"/>
    <xf numFmtId="169" fontId="17" fillId="21" borderId="18" xfId="1" quotePrefix="1" applyNumberFormat="1" applyFont="1" applyFill="1" applyBorder="1" applyAlignment="1">
      <alignment horizontal="center"/>
    </xf>
    <xf numFmtId="167" fontId="17" fillId="17" borderId="19" xfId="1" applyNumberFormat="1" applyFont="1" applyFill="1" applyBorder="1"/>
    <xf numFmtId="168" fontId="17" fillId="21" borderId="50" xfId="0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3" fillId="0" borderId="0" xfId="0" applyFont="1"/>
    <xf numFmtId="0" fontId="69" fillId="0" borderId="0" xfId="0" applyFont="1"/>
    <xf numFmtId="0" fontId="74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2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0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5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6" fillId="21" borderId="18" xfId="0" applyNumberFormat="1" applyFont="1" applyFill="1" applyBorder="1" applyAlignment="1">
      <alignment horizontal="center" wrapText="1"/>
    </xf>
    <xf numFmtId="3" fontId="76" fillId="21" borderId="0" xfId="0" applyNumberFormat="1" applyFont="1" applyFill="1" applyAlignment="1">
      <alignment horizontal="center" wrapText="1"/>
    </xf>
    <xf numFmtId="0" fontId="76" fillId="21" borderId="19" xfId="0" applyFont="1" applyFill="1" applyBorder="1" applyAlignment="1">
      <alignment horizontal="center"/>
    </xf>
    <xf numFmtId="167" fontId="76" fillId="21" borderId="18" xfId="1" applyNumberFormat="1" applyFont="1" applyFill="1" applyBorder="1"/>
    <xf numFmtId="167" fontId="76" fillId="21" borderId="0" xfId="1" applyNumberFormat="1" applyFont="1" applyFill="1" applyBorder="1"/>
    <xf numFmtId="167" fontId="76" fillId="21" borderId="19" xfId="1" applyNumberFormat="1" applyFont="1" applyFill="1" applyBorder="1"/>
    <xf numFmtId="170" fontId="76" fillId="21" borderId="0" xfId="0" quotePrefix="1" applyNumberFormat="1" applyFont="1" applyFill="1" applyAlignment="1">
      <alignment horizontal="center"/>
    </xf>
    <xf numFmtId="17" fontId="76" fillId="21" borderId="19" xfId="0" quotePrefix="1" applyNumberFormat="1" applyFont="1" applyFill="1" applyBorder="1" applyAlignment="1">
      <alignment horizontal="center"/>
    </xf>
    <xf numFmtId="3" fontId="76" fillId="21" borderId="50" xfId="0" applyNumberFormat="1" applyFont="1" applyFill="1" applyBorder="1" applyAlignment="1">
      <alignment horizontal="left"/>
    </xf>
    <xf numFmtId="167" fontId="2" fillId="0" borderId="0" xfId="0" applyNumberFormat="1" applyFont="1"/>
    <xf numFmtId="43" fontId="2" fillId="0" borderId="0" xfId="0" applyNumberFormat="1" applyFont="1"/>
    <xf numFmtId="0" fontId="80" fillId="3" borderId="0" xfId="0" applyFont="1" applyFill="1"/>
    <xf numFmtId="0" fontId="80" fillId="0" borderId="0" xfId="0" applyFont="1"/>
    <xf numFmtId="3" fontId="17" fillId="25" borderId="18" xfId="0" applyNumberFormat="1" applyFont="1" applyFill="1" applyBorder="1" applyAlignment="1">
      <alignment horizontal="center" wrapText="1"/>
    </xf>
    <xf numFmtId="167" fontId="36" fillId="25" borderId="0" xfId="1" applyNumberFormat="1" applyFont="1" applyFill="1" applyBorder="1"/>
    <xf numFmtId="3" fontId="76" fillId="25" borderId="18" xfId="0" applyNumberFormat="1" applyFont="1" applyFill="1" applyBorder="1" applyAlignment="1">
      <alignment horizontal="center" wrapText="1"/>
    </xf>
    <xf numFmtId="3" fontId="76" fillId="25" borderId="0" xfId="0" applyNumberFormat="1" applyFont="1" applyFill="1" applyAlignment="1">
      <alignment horizontal="center" wrapText="1"/>
    </xf>
    <xf numFmtId="0" fontId="76" fillId="25" borderId="19" xfId="0" applyFont="1" applyFill="1" applyBorder="1" applyAlignment="1">
      <alignment horizontal="center"/>
    </xf>
    <xf numFmtId="167" fontId="76" fillId="25" borderId="18" xfId="1" applyNumberFormat="1" applyFont="1" applyFill="1" applyBorder="1"/>
    <xf numFmtId="167" fontId="76" fillId="25" borderId="0" xfId="1" applyNumberFormat="1" applyFont="1" applyFill="1" applyBorder="1"/>
    <xf numFmtId="167" fontId="76" fillId="25" borderId="19" xfId="1" applyNumberFormat="1" applyFont="1" applyFill="1" applyBorder="1"/>
    <xf numFmtId="170" fontId="76" fillId="25" borderId="0" xfId="0" quotePrefix="1" applyNumberFormat="1" applyFont="1" applyFill="1" applyAlignment="1">
      <alignment horizontal="center"/>
    </xf>
    <xf numFmtId="17" fontId="76" fillId="25" borderId="19" xfId="0" quotePrefix="1" applyNumberFormat="1" applyFont="1" applyFill="1" applyBorder="1" applyAlignment="1">
      <alignment horizontal="center"/>
    </xf>
    <xf numFmtId="3" fontId="52" fillId="25" borderId="50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25" borderId="19" xfId="0" quotePrefix="1" applyNumberFormat="1" applyFont="1" applyFill="1" applyBorder="1" applyAlignment="1">
      <alignment horizont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7" fillId="21" borderId="18" xfId="0" quotePrefix="1" applyNumberFormat="1" applyFont="1" applyFill="1" applyBorder="1" applyAlignment="1">
      <alignment horizontal="center"/>
    </xf>
    <xf numFmtId="171" fontId="17" fillId="21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3" fillId="12" borderId="0" xfId="0" applyNumberFormat="1" applyFont="1" applyFill="1" applyAlignment="1">
      <alignment vertical="center"/>
    </xf>
    <xf numFmtId="0" fontId="82" fillId="3" borderId="0" xfId="0" applyFont="1" applyFill="1" applyAlignment="1">
      <alignment vertical="center"/>
    </xf>
    <xf numFmtId="167" fontId="83" fillId="12" borderId="57" xfId="0" applyNumberFormat="1" applyFont="1" applyFill="1" applyBorder="1" applyAlignment="1">
      <alignment vertical="center"/>
    </xf>
    <xf numFmtId="168" fontId="83" fillId="12" borderId="22" xfId="0" applyNumberFormat="1" applyFont="1" applyFill="1" applyBorder="1" applyAlignment="1">
      <alignment vertical="center"/>
    </xf>
    <xf numFmtId="169" fontId="82" fillId="12" borderId="21" xfId="1" quotePrefix="1" applyNumberFormat="1" applyFont="1" applyFill="1" applyBorder="1" applyAlignment="1">
      <alignment vertical="center"/>
    </xf>
    <xf numFmtId="169" fontId="82" fillId="12" borderId="58" xfId="1" applyNumberFormat="1" applyFont="1" applyFill="1" applyBorder="1" applyAlignment="1">
      <alignment vertical="center"/>
    </xf>
    <xf numFmtId="167" fontId="85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8" fillId="0" borderId="18" xfId="0" applyFont="1" applyBorder="1" applyAlignment="1">
      <alignment horizontal="center"/>
    </xf>
    <xf numFmtId="0" fontId="89" fillId="0" borderId="0" xfId="0" applyFont="1"/>
    <xf numFmtId="14" fontId="88" fillId="0" borderId="19" xfId="0" applyNumberFormat="1" applyFont="1" applyBorder="1" applyAlignment="1">
      <alignment horizontal="center"/>
    </xf>
    <xf numFmtId="0" fontId="56" fillId="0" borderId="0" xfId="0" applyFont="1"/>
    <xf numFmtId="3" fontId="76" fillId="25" borderId="50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4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7" xfId="0" quotePrefix="1" applyNumberFormat="1" applyFont="1" applyFill="1" applyBorder="1" applyAlignment="1">
      <alignment horizontal="center"/>
    </xf>
    <xf numFmtId="167" fontId="84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7" xfId="1" quotePrefix="1" applyNumberFormat="1" applyFont="1" applyFill="1" applyBorder="1" applyAlignment="1">
      <alignment horizontal="center"/>
    </xf>
    <xf numFmtId="3" fontId="20" fillId="20" borderId="59" xfId="0" applyNumberFormat="1" applyFont="1" applyFill="1" applyBorder="1" applyAlignment="1">
      <alignment horizontal="left"/>
    </xf>
    <xf numFmtId="0" fontId="90" fillId="3" borderId="0" xfId="0" applyFont="1" applyFill="1"/>
    <xf numFmtId="168" fontId="94" fillId="7" borderId="50" xfId="0" applyNumberFormat="1" applyFont="1" applyFill="1" applyBorder="1"/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71" fontId="89" fillId="3" borderId="18" xfId="0" quotePrefix="1" applyNumberFormat="1" applyFont="1" applyFill="1" applyBorder="1" applyAlignment="1">
      <alignment horizontal="center"/>
    </xf>
    <xf numFmtId="171" fontId="89" fillId="3" borderId="19" xfId="0" quotePrefix="1" applyNumberFormat="1" applyFont="1" applyFill="1" applyBorder="1" applyAlignment="1">
      <alignment horizontal="center"/>
    </xf>
    <xf numFmtId="167" fontId="89" fillId="16" borderId="0" xfId="1" applyNumberFormat="1" applyFont="1" applyFill="1" applyBorder="1"/>
    <xf numFmtId="167" fontId="95" fillId="16" borderId="0" xfId="1" applyNumberFormat="1" applyFont="1" applyFill="1" applyBorder="1"/>
    <xf numFmtId="167" fontId="89" fillId="7" borderId="0" xfId="1" applyNumberFormat="1" applyFont="1" applyFill="1" applyBorder="1"/>
    <xf numFmtId="167" fontId="89" fillId="7" borderId="19" xfId="1" applyNumberFormat="1" applyFont="1" applyFill="1" applyBorder="1"/>
    <xf numFmtId="167" fontId="95" fillId="7" borderId="0" xfId="1" applyNumberFormat="1" applyFont="1" applyFill="1" applyBorder="1"/>
    <xf numFmtId="169" fontId="89" fillId="7" borderId="0" xfId="1" quotePrefix="1" applyNumberFormat="1" applyFont="1" applyFill="1" applyBorder="1" applyAlignment="1">
      <alignment horizontal="center"/>
    </xf>
    <xf numFmtId="168" fontId="89" fillId="7" borderId="50" xfId="0" applyNumberFormat="1" applyFont="1" applyFill="1" applyBorder="1"/>
    <xf numFmtId="3" fontId="89" fillId="7" borderId="0" xfId="1" applyNumberFormat="1" applyFont="1" applyFill="1" applyBorder="1"/>
    <xf numFmtId="171" fontId="17" fillId="3" borderId="0" xfId="0" quotePrefix="1" applyNumberFormat="1" applyFont="1" applyFill="1" applyAlignment="1">
      <alignment horizontal="center"/>
    </xf>
    <xf numFmtId="167" fontId="84" fillId="20" borderId="26" xfId="1" applyNumberFormat="1" applyFont="1" applyFill="1" applyBorder="1"/>
    <xf numFmtId="167" fontId="95" fillId="7" borderId="60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6" fillId="13" borderId="23" xfId="0" applyNumberFormat="1" applyFont="1" applyFill="1" applyBorder="1" applyAlignment="1">
      <alignment vertical="center"/>
    </xf>
    <xf numFmtId="3" fontId="96" fillId="13" borderId="1" xfId="0" applyNumberFormat="1" applyFont="1" applyFill="1" applyBorder="1" applyAlignment="1">
      <alignment vertical="center"/>
    </xf>
    <xf numFmtId="3" fontId="96" fillId="6" borderId="23" xfId="0" applyNumberFormat="1" applyFont="1" applyFill="1" applyBorder="1" applyAlignment="1">
      <alignment vertical="center"/>
    </xf>
    <xf numFmtId="3" fontId="96" fillId="6" borderId="1" xfId="0" applyNumberFormat="1" applyFont="1" applyFill="1" applyBorder="1" applyAlignment="1">
      <alignment horizontal="center" vertical="center"/>
    </xf>
    <xf numFmtId="3" fontId="96" fillId="6" borderId="1" xfId="0" applyNumberFormat="1" applyFont="1" applyFill="1" applyBorder="1" applyAlignment="1">
      <alignment vertical="center"/>
    </xf>
    <xf numFmtId="3" fontId="98" fillId="13" borderId="1" xfId="0" applyNumberFormat="1" applyFont="1" applyFill="1" applyBorder="1" applyAlignment="1">
      <alignment vertical="center" wrapText="1"/>
    </xf>
    <xf numFmtId="3" fontId="99" fillId="0" borderId="0" xfId="0" applyNumberFormat="1" applyFont="1"/>
    <xf numFmtId="0" fontId="99" fillId="0" borderId="0" xfId="0" applyFont="1"/>
    <xf numFmtId="3" fontId="98" fillId="6" borderId="9" xfId="0" applyNumberFormat="1" applyFont="1" applyFill="1" applyBorder="1" applyAlignment="1">
      <alignment vertical="center"/>
    </xf>
    <xf numFmtId="3" fontId="98" fillId="6" borderId="1" xfId="0" applyNumberFormat="1" applyFont="1" applyFill="1" applyBorder="1" applyAlignment="1">
      <alignment vertical="center"/>
    </xf>
    <xf numFmtId="0" fontId="100" fillId="0" borderId="0" xfId="0" applyFont="1"/>
    <xf numFmtId="3" fontId="98" fillId="0" borderId="31" xfId="0" applyNumberFormat="1" applyFont="1" applyBorder="1"/>
    <xf numFmtId="3" fontId="98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36" fillId="17" borderId="0" xfId="1" applyNumberFormat="1" applyFont="1" applyFill="1" applyBorder="1"/>
    <xf numFmtId="0" fontId="20" fillId="7" borderId="53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3" xfId="1" applyNumberFormat="1" applyFont="1" applyFill="1" applyBorder="1" applyAlignment="1">
      <alignment vertical="center"/>
    </xf>
    <xf numFmtId="0" fontId="12" fillId="0" borderId="50" xfId="0" applyFont="1" applyBorder="1"/>
    <xf numFmtId="0" fontId="11" fillId="7" borderId="61" xfId="0" applyFont="1" applyFill="1" applyBorder="1" applyAlignment="1">
      <alignment horizontal="center"/>
    </xf>
    <xf numFmtId="167" fontId="101" fillId="18" borderId="62" xfId="1" applyNumberFormat="1" applyFont="1" applyFill="1" applyBorder="1"/>
    <xf numFmtId="167" fontId="102" fillId="7" borderId="63" xfId="1" applyNumberFormat="1" applyFont="1" applyFill="1" applyBorder="1"/>
    <xf numFmtId="167" fontId="12" fillId="7" borderId="63" xfId="1" applyNumberFormat="1" applyFont="1" applyFill="1" applyBorder="1"/>
    <xf numFmtId="167" fontId="102" fillId="11" borderId="62" xfId="1" applyNumberFormat="1" applyFont="1" applyFill="1" applyBorder="1"/>
    <xf numFmtId="167" fontId="103" fillId="7" borderId="62" xfId="1" applyNumberFormat="1" applyFont="1" applyFill="1" applyBorder="1" applyAlignment="1">
      <alignment horizontal="left" vertical="center"/>
    </xf>
    <xf numFmtId="167" fontId="104" fillId="7" borderId="62" xfId="1" applyNumberFormat="1" applyFont="1" applyFill="1" applyBorder="1"/>
    <xf numFmtId="167" fontId="105" fillId="7" borderId="62" xfId="0" applyNumberFormat="1" applyFont="1" applyFill="1" applyBorder="1"/>
    <xf numFmtId="164" fontId="87" fillId="7" borderId="5" xfId="0" applyNumberFormat="1" applyFont="1" applyFill="1" applyBorder="1" applyAlignment="1">
      <alignment vertical="center"/>
    </xf>
    <xf numFmtId="164" fontId="106" fillId="7" borderId="5" xfId="0" applyNumberFormat="1" applyFont="1" applyFill="1" applyBorder="1" applyAlignment="1">
      <alignment vertical="center"/>
    </xf>
    <xf numFmtId="164" fontId="106" fillId="7" borderId="55" xfId="0" applyNumberFormat="1" applyFont="1" applyFill="1" applyBorder="1" applyAlignment="1">
      <alignment vertical="center"/>
    </xf>
    <xf numFmtId="164" fontId="106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0" fontId="12" fillId="0" borderId="0" xfId="0" applyFont="1"/>
    <xf numFmtId="0" fontId="79" fillId="0" borderId="0" xfId="0" applyFont="1"/>
    <xf numFmtId="0" fontId="12" fillId="0" borderId="19" xfId="0" applyFont="1" applyBorder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0" fontId="20" fillId="0" borderId="0" xfId="0" applyFont="1" applyAlignment="1">
      <alignment wrapText="1"/>
    </xf>
    <xf numFmtId="3" fontId="45" fillId="0" borderId="0" xfId="0" applyNumberFormat="1" applyFont="1" applyAlignment="1">
      <alignment vertical="center"/>
    </xf>
    <xf numFmtId="171" fontId="17" fillId="25" borderId="0" xfId="0" quotePrefix="1" applyNumberFormat="1" applyFont="1" applyFill="1" applyAlignment="1">
      <alignment horizontal="center"/>
    </xf>
    <xf numFmtId="3" fontId="108" fillId="0" borderId="0" xfId="0" applyNumberFormat="1" applyFont="1"/>
    <xf numFmtId="3" fontId="90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91" fillId="30" borderId="41" xfId="0" applyFont="1" applyFill="1" applyBorder="1" applyAlignment="1">
      <alignment horizontal="left" vertical="center"/>
    </xf>
    <xf numFmtId="0" fontId="91" fillId="30" borderId="41" xfId="0" applyFont="1" applyFill="1" applyBorder="1" applyAlignment="1">
      <alignment horizontal="right" vertical="center"/>
    </xf>
    <xf numFmtId="167" fontId="91" fillId="30" borderId="41" xfId="1" applyNumberFormat="1" applyFont="1" applyFill="1" applyBorder="1" applyAlignment="1">
      <alignment horizontal="right" vertical="center"/>
    </xf>
    <xf numFmtId="167" fontId="92" fillId="30" borderId="42" xfId="1" applyNumberFormat="1" applyFont="1" applyFill="1" applyBorder="1" applyAlignment="1">
      <alignment vertical="center"/>
    </xf>
    <xf numFmtId="0" fontId="92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4" fillId="20" borderId="47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3" fontId="17" fillId="25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7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8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6" fillId="22" borderId="0" xfId="0" applyFont="1" applyFill="1"/>
    <xf numFmtId="3" fontId="0" fillId="13" borderId="50" xfId="0" applyNumberFormat="1" applyFill="1" applyBorder="1" applyAlignment="1">
      <alignment horizontal="center" wrapText="1"/>
    </xf>
    <xf numFmtId="3" fontId="0" fillId="13" borderId="50" xfId="0" applyNumberFormat="1" applyFill="1" applyBorder="1" applyAlignment="1">
      <alignment horizontal="center"/>
    </xf>
    <xf numFmtId="169" fontId="17" fillId="25" borderId="19" xfId="1" quotePrefix="1" applyNumberFormat="1" applyFont="1" applyFill="1" applyBorder="1" applyAlignment="1">
      <alignment horizontal="center"/>
    </xf>
    <xf numFmtId="167" fontId="61" fillId="13" borderId="0" xfId="1" applyNumberFormat="1" applyFont="1" applyFill="1" applyBorder="1"/>
    <xf numFmtId="171" fontId="0" fillId="13" borderId="50" xfId="0" applyNumberFormat="1" applyFill="1" applyBorder="1"/>
    <xf numFmtId="167" fontId="0" fillId="13" borderId="0" xfId="0" applyNumberFormat="1" applyFill="1"/>
    <xf numFmtId="0" fontId="53" fillId="13" borderId="0" xfId="0" applyFont="1" applyFill="1"/>
    <xf numFmtId="3" fontId="0" fillId="13" borderId="0" xfId="0" applyNumberFormat="1" applyFill="1"/>
    <xf numFmtId="3" fontId="53" fillId="13" borderId="0" xfId="0" applyNumberFormat="1" applyFont="1" applyFill="1"/>
    <xf numFmtId="0" fontId="0" fillId="13" borderId="50" xfId="1" applyNumberFormat="1" applyFont="1" applyFill="1" applyBorder="1" applyAlignment="1">
      <alignment horizontal="center"/>
    </xf>
    <xf numFmtId="0" fontId="0" fillId="13" borderId="50" xfId="0" applyFill="1" applyBorder="1" applyAlignment="1">
      <alignment horizontal="center" vertical="center"/>
    </xf>
    <xf numFmtId="171" fontId="0" fillId="13" borderId="19" xfId="0" applyNumberFormat="1" applyFill="1" applyBorder="1" applyAlignment="1">
      <alignment horizontal="center" vertical="center"/>
    </xf>
    <xf numFmtId="0" fontId="0" fillId="13" borderId="50" xfId="1" applyNumberFormat="1" applyFont="1" applyFill="1" applyBorder="1" applyAlignment="1">
      <alignment horizontal="center" vertical="center"/>
    </xf>
    <xf numFmtId="0" fontId="0" fillId="13" borderId="50" xfId="0" applyFill="1" applyBorder="1" applyAlignment="1">
      <alignment horizontal="center"/>
    </xf>
    <xf numFmtId="171" fontId="0" fillId="13" borderId="19" xfId="0" applyNumberFormat="1" applyFill="1" applyBorder="1"/>
    <xf numFmtId="171" fontId="0" fillId="13" borderId="50" xfId="0" applyNumberFormat="1" applyFill="1" applyBorder="1" applyAlignment="1">
      <alignment horizontal="center"/>
    </xf>
    <xf numFmtId="3" fontId="0" fillId="13" borderId="51" xfId="0" applyNumberFormat="1" applyFill="1" applyBorder="1" applyAlignment="1">
      <alignment horizontal="center"/>
    </xf>
    <xf numFmtId="171" fontId="0" fillId="13" borderId="19" xfId="0" applyNumberFormat="1" applyFill="1" applyBorder="1" applyAlignment="1">
      <alignment horizontal="center"/>
    </xf>
    <xf numFmtId="171" fontId="10" fillId="12" borderId="59" xfId="0" applyNumberFormat="1" applyFont="1" applyFill="1" applyBorder="1"/>
    <xf numFmtId="171" fontId="2" fillId="12" borderId="27" xfId="0" applyNumberFormat="1" applyFont="1" applyFill="1" applyBorder="1"/>
    <xf numFmtId="167" fontId="10" fillId="12" borderId="27" xfId="0" applyNumberFormat="1" applyFont="1" applyFill="1" applyBorder="1"/>
    <xf numFmtId="167" fontId="111" fillId="12" borderId="27" xfId="0" applyNumberFormat="1" applyFont="1" applyFill="1" applyBorder="1"/>
    <xf numFmtId="3" fontId="84" fillId="20" borderId="47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7" fontId="4" fillId="3" borderId="0" xfId="0" quotePrefix="1" applyNumberFormat="1" applyFont="1" applyFill="1" applyAlignment="1">
      <alignment horizontal="center"/>
    </xf>
    <xf numFmtId="167" fontId="0" fillId="0" borderId="1" xfId="0" applyNumberFormat="1" applyBorder="1"/>
    <xf numFmtId="171" fontId="10" fillId="3" borderId="0" xfId="0" applyNumberFormat="1" applyFont="1" applyFill="1" applyBorder="1"/>
    <xf numFmtId="171" fontId="2" fillId="3" borderId="0" xfId="0" applyNumberFormat="1" applyFont="1" applyFill="1" applyBorder="1"/>
    <xf numFmtId="171" fontId="0" fillId="3" borderId="0" xfId="0" applyNumberFormat="1" applyFill="1"/>
    <xf numFmtId="167" fontId="62" fillId="0" borderId="1" xfId="0" applyNumberFormat="1" applyFont="1" applyBorder="1"/>
    <xf numFmtId="167" fontId="70" fillId="24" borderId="0" xfId="1" applyNumberFormat="1" applyFont="1" applyFill="1" applyBorder="1"/>
    <xf numFmtId="167" fontId="36" fillId="24" borderId="0" xfId="1" applyNumberFormat="1" applyFont="1" applyFill="1" applyBorder="1"/>
    <xf numFmtId="171" fontId="17" fillId="21" borderId="0" xfId="0" quotePrefix="1" applyNumberFormat="1" applyFont="1" applyFill="1" applyAlignment="1">
      <alignment horizontal="center"/>
    </xf>
    <xf numFmtId="167" fontId="70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67" fontId="17" fillId="24" borderId="18" xfId="1" applyNumberFormat="1" applyFont="1" applyFill="1" applyBorder="1"/>
    <xf numFmtId="167" fontId="17" fillId="24" borderId="0" xfId="1" applyNumberFormat="1" applyFont="1" applyFill="1" applyBorder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70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19" xfId="1" quotePrefix="1" applyNumberFormat="1" applyFont="1" applyFill="1" applyBorder="1" applyAlignment="1">
      <alignment horizontal="center"/>
    </xf>
    <xf numFmtId="167" fontId="89" fillId="24" borderId="19" xfId="1" applyNumberFormat="1" applyFont="1" applyFill="1" applyBorder="1"/>
    <xf numFmtId="171" fontId="17" fillId="24" borderId="19" xfId="0" quotePrefix="1" applyNumberFormat="1" applyFont="1" applyFill="1" applyBorder="1" applyAlignment="1">
      <alignment horizontal="center"/>
    </xf>
    <xf numFmtId="165" fontId="17" fillId="24" borderId="0" xfId="1" applyFont="1" applyFill="1" applyBorder="1"/>
    <xf numFmtId="169" fontId="17" fillId="24" borderId="18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167" fontId="80" fillId="24" borderId="18" xfId="1" applyNumberFormat="1" applyFont="1" applyFill="1" applyBorder="1"/>
    <xf numFmtId="167" fontId="80" fillId="24" borderId="0" xfId="1" applyNumberFormat="1" applyFont="1" applyFill="1" applyBorder="1"/>
    <xf numFmtId="167" fontId="80" fillId="24" borderId="19" xfId="1" applyNumberFormat="1" applyFont="1" applyFill="1" applyBorder="1"/>
    <xf numFmtId="167" fontId="81" fillId="24" borderId="0" xfId="1" applyNumberFormat="1" applyFont="1" applyFill="1" applyBorder="1"/>
    <xf numFmtId="172" fontId="17" fillId="24" borderId="18" xfId="0" quotePrefix="1" applyNumberFormat="1" applyFont="1" applyFill="1" applyBorder="1" applyAlignment="1">
      <alignment horizontal="center"/>
    </xf>
    <xf numFmtId="173" fontId="17" fillId="24" borderId="19" xfId="0" quotePrefix="1" applyNumberFormat="1" applyFont="1" applyFill="1" applyBorder="1" applyAlignment="1">
      <alignment horizontal="center"/>
    </xf>
    <xf numFmtId="14" fontId="88" fillId="24" borderId="18" xfId="0" applyNumberFormat="1" applyFont="1" applyFill="1" applyBorder="1" applyAlignment="1">
      <alignment horizontal="center"/>
    </xf>
    <xf numFmtId="14" fontId="88" fillId="24" borderId="19" xfId="0" applyNumberFormat="1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167" fontId="71" fillId="24" borderId="0" xfId="1" applyNumberFormat="1" applyFont="1" applyFill="1" applyBorder="1"/>
    <xf numFmtId="0" fontId="88" fillId="24" borderId="0" xfId="0" applyFont="1" applyFill="1" applyAlignment="1">
      <alignment horizontal="center"/>
    </xf>
    <xf numFmtId="0" fontId="88" fillId="24" borderId="18" xfId="0" applyFont="1" applyFill="1" applyBorder="1" applyAlignment="1">
      <alignment horizontal="center"/>
    </xf>
    <xf numFmtId="0" fontId="94" fillId="24" borderId="50" xfId="0" applyNumberFormat="1" applyFont="1" applyFill="1" applyBorder="1"/>
    <xf numFmtId="168" fontId="94" fillId="24" borderId="50" xfId="0" applyNumberFormat="1" applyFont="1" applyFill="1" applyBorder="1"/>
    <xf numFmtId="3" fontId="16" fillId="24" borderId="0" xfId="0" applyNumberFormat="1" applyFont="1" applyFill="1" applyAlignment="1">
      <alignment horizontal="center" wrapText="1"/>
    </xf>
    <xf numFmtId="3" fontId="16" fillId="24" borderId="19" xfId="0" applyNumberFormat="1" applyFont="1" applyFill="1" applyBorder="1" applyAlignment="1">
      <alignment horizontal="center" wrapText="1"/>
    </xf>
    <xf numFmtId="3" fontId="17" fillId="24" borderId="64" xfId="0" applyNumberFormat="1" applyFont="1" applyFill="1" applyBorder="1"/>
    <xf numFmtId="3" fontId="17" fillId="21" borderId="0" xfId="0" applyNumberFormat="1" applyFont="1" applyFill="1" applyAlignment="1">
      <alignment horizontal="left"/>
    </xf>
    <xf numFmtId="167" fontId="17" fillId="24" borderId="18" xfId="1" applyNumberFormat="1" applyFont="1" applyFill="1" applyBorder="1" applyAlignment="1">
      <alignment horizontal="left" indent="5"/>
    </xf>
    <xf numFmtId="3" fontId="16" fillId="36" borderId="18" xfId="0" applyNumberFormat="1" applyFont="1" applyFill="1" applyBorder="1" applyAlignment="1">
      <alignment horizontal="center" wrapText="1"/>
    </xf>
    <xf numFmtId="3" fontId="17" fillId="36" borderId="0" xfId="0" applyNumberFormat="1" applyFont="1" applyFill="1" applyAlignment="1">
      <alignment horizontal="center" wrapText="1"/>
    </xf>
    <xf numFmtId="171" fontId="17" fillId="36" borderId="18" xfId="0" quotePrefix="1" applyNumberFormat="1" applyFont="1" applyFill="1" applyBorder="1" applyAlignment="1">
      <alignment horizontal="center"/>
    </xf>
    <xf numFmtId="171" fontId="17" fillId="36" borderId="0" xfId="0" quotePrefix="1" applyNumberFormat="1" applyFont="1" applyFill="1" applyAlignment="1">
      <alignment horizontal="center"/>
    </xf>
    <xf numFmtId="167" fontId="17" fillId="36" borderId="18" xfId="1" applyNumberFormat="1" applyFont="1" applyFill="1" applyBorder="1"/>
    <xf numFmtId="167" fontId="17" fillId="36" borderId="0" xfId="1" applyNumberFormat="1" applyFont="1" applyFill="1" applyBorder="1"/>
    <xf numFmtId="167" fontId="69" fillId="36" borderId="0" xfId="1" applyNumberFormat="1" applyFont="1" applyFill="1" applyBorder="1"/>
    <xf numFmtId="167" fontId="17" fillId="36" borderId="19" xfId="1" applyNumberFormat="1" applyFont="1" applyFill="1" applyBorder="1"/>
    <xf numFmtId="167" fontId="70" fillId="36" borderId="0" xfId="1" applyNumberFormat="1" applyFont="1" applyFill="1" applyBorder="1"/>
    <xf numFmtId="169" fontId="17" fillId="36" borderId="18" xfId="1" quotePrefix="1" applyNumberFormat="1" applyFont="1" applyFill="1" applyBorder="1" applyAlignment="1">
      <alignment horizontal="center"/>
    </xf>
    <xf numFmtId="169" fontId="34" fillId="36" borderId="19" xfId="1" quotePrefix="1" applyNumberFormat="1" applyFont="1" applyFill="1" applyBorder="1" applyAlignment="1">
      <alignment horizontal="center"/>
    </xf>
    <xf numFmtId="3" fontId="17" fillId="24" borderId="50" xfId="0" applyNumberFormat="1" applyFont="1" applyFill="1" applyBorder="1" applyAlignment="1">
      <alignment horizontal="left"/>
    </xf>
    <xf numFmtId="3" fontId="17" fillId="36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3" fontId="16" fillId="25" borderId="18" xfId="0" applyNumberFormat="1" applyFont="1" applyFill="1" applyBorder="1" applyAlignment="1">
      <alignment horizontal="center" wrapText="1"/>
    </xf>
    <xf numFmtId="0" fontId="88" fillId="25" borderId="0" xfId="0" applyFont="1" applyFill="1" applyAlignment="1">
      <alignment horizontal="center"/>
    </xf>
    <xf numFmtId="0" fontId="88" fillId="25" borderId="18" xfId="0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167" fontId="70" fillId="25" borderId="0" xfId="1" applyNumberFormat="1" applyFont="1" applyFill="1" applyBorder="1"/>
    <xf numFmtId="3" fontId="17" fillId="25" borderId="0" xfId="1" applyNumberFormat="1" applyFont="1" applyFill="1" applyBorder="1"/>
    <xf numFmtId="167" fontId="69" fillId="25" borderId="0" xfId="1" applyNumberFormat="1" applyFont="1" applyFill="1" applyBorder="1"/>
    <xf numFmtId="167" fontId="36" fillId="25" borderId="19" xfId="1" applyNumberFormat="1" applyFont="1" applyFill="1" applyBorder="1"/>
    <xf numFmtId="169" fontId="17" fillId="25" borderId="0" xfId="1" quotePrefix="1" applyNumberFormat="1" applyFont="1" applyFill="1" applyBorder="1" applyAlignment="1">
      <alignment horizontal="center"/>
    </xf>
    <xf numFmtId="169" fontId="34" fillId="25" borderId="19" xfId="1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167" fontId="89" fillId="25" borderId="19" xfId="1" applyNumberFormat="1" applyFont="1" applyFill="1" applyBorder="1"/>
    <xf numFmtId="167" fontId="70" fillId="25" borderId="19" xfId="1" applyNumberFormat="1" applyFont="1" applyFill="1" applyBorder="1"/>
    <xf numFmtId="3" fontId="17" fillId="25" borderId="0" xfId="0" applyNumberFormat="1" applyFont="1" applyFill="1" applyAlignment="1">
      <alignment horizontal="left"/>
    </xf>
    <xf numFmtId="167" fontId="69" fillId="25" borderId="18" xfId="1" applyNumberFormat="1" applyFont="1" applyFill="1" applyBorder="1"/>
    <xf numFmtId="167" fontId="110" fillId="25" borderId="0" xfId="1" applyNumberFormat="1" applyFont="1" applyFill="1" applyBorder="1"/>
    <xf numFmtId="167" fontId="69" fillId="25" borderId="52" xfId="1" applyNumberFormat="1" applyFont="1" applyFill="1" applyBorder="1"/>
    <xf numFmtId="167" fontId="17" fillId="25" borderId="52" xfId="1" applyNumberFormat="1" applyFont="1" applyFill="1" applyBorder="1"/>
    <xf numFmtId="0" fontId="0" fillId="13" borderId="0" xfId="0" applyFill="1" applyBorder="1" applyAlignment="1">
      <alignment horizontal="center"/>
    </xf>
    <xf numFmtId="3" fontId="4" fillId="13" borderId="19" xfId="0" applyNumberFormat="1" applyFont="1" applyFill="1" applyBorder="1"/>
    <xf numFmtId="167" fontId="16" fillId="0" borderId="0" xfId="1" applyNumberFormat="1" applyFont="1"/>
    <xf numFmtId="167" fontId="73" fillId="0" borderId="0" xfId="1" applyNumberFormat="1" applyFont="1"/>
    <xf numFmtId="167" fontId="69" fillId="0" borderId="0" xfId="1" applyNumberFormat="1" applyFont="1"/>
    <xf numFmtId="14" fontId="62" fillId="3" borderId="0" xfId="0" applyNumberFormat="1" applyFont="1" applyFill="1"/>
    <xf numFmtId="17" fontId="4" fillId="3" borderId="0" xfId="0" quotePrefix="1" applyNumberFormat="1" applyFont="1" applyFill="1" applyBorder="1" applyAlignment="1">
      <alignment horizontal="center"/>
    </xf>
    <xf numFmtId="171" fontId="17" fillId="0" borderId="0" xfId="0" quotePrefix="1" applyNumberFormat="1" applyFont="1" applyBorder="1" applyAlignment="1">
      <alignment horizontal="center" vertical="center"/>
    </xf>
    <xf numFmtId="171" fontId="17" fillId="3" borderId="0" xfId="0" quotePrefix="1" applyNumberFormat="1" applyFont="1" applyFill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14" fontId="62" fillId="3" borderId="0" xfId="0" applyNumberFormat="1" applyFont="1" applyFill="1" applyBorder="1"/>
    <xf numFmtId="174" fontId="62" fillId="3" borderId="0" xfId="0" applyNumberFormat="1" applyFont="1" applyFill="1" applyBorder="1"/>
    <xf numFmtId="0" fontId="62" fillId="0" borderId="50" xfId="0" applyFont="1" applyBorder="1"/>
    <xf numFmtId="0" fontId="62" fillId="2" borderId="50" xfId="0" applyFont="1" applyFill="1" applyBorder="1"/>
    <xf numFmtId="3" fontId="17" fillId="3" borderId="50" xfId="0" applyNumberFormat="1" applyFont="1" applyFill="1" applyBorder="1" applyAlignment="1">
      <alignment horizontal="left"/>
    </xf>
    <xf numFmtId="3" fontId="0" fillId="13" borderId="50" xfId="0" applyNumberFormat="1" applyFont="1" applyFill="1" applyBorder="1" applyAlignment="1">
      <alignment horizontal="center" wrapText="1"/>
    </xf>
    <xf numFmtId="3" fontId="0" fillId="13" borderId="51" xfId="0" applyNumberFormat="1" applyFont="1" applyFill="1" applyBorder="1" applyAlignment="1">
      <alignment horizontal="center" wrapText="1"/>
    </xf>
    <xf numFmtId="3" fontId="17" fillId="3" borderId="64" xfId="0" applyNumberFormat="1" applyFont="1" applyFill="1" applyBorder="1"/>
    <xf numFmtId="167" fontId="17" fillId="24" borderId="52" xfId="1" applyNumberFormat="1" applyFont="1" applyFill="1" applyBorder="1"/>
    <xf numFmtId="167" fontId="36" fillId="24" borderId="52" xfId="1" applyNumberFormat="1" applyFont="1" applyFill="1" applyBorder="1"/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171" fontId="0" fillId="0" borderId="1" xfId="0" applyNumberFormat="1" applyBorder="1" applyAlignment="1">
      <alignment horizontal="right"/>
    </xf>
    <xf numFmtId="3" fontId="111" fillId="0" borderId="16" xfId="0" applyNumberFormat="1" applyFont="1" applyBorder="1" applyAlignment="1">
      <alignment horizontal="center" vertical="center" wrapText="1"/>
    </xf>
    <xf numFmtId="3" fontId="111" fillId="0" borderId="21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1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3" fontId="18" fillId="0" borderId="66" xfId="0" applyNumberFormat="1" applyFont="1" applyBorder="1" applyAlignment="1">
      <alignment horizontal="center" vertical="center" wrapText="1"/>
    </xf>
    <xf numFmtId="3" fontId="18" fillId="0" borderId="6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3" fontId="18" fillId="0" borderId="49" xfId="0" applyNumberFormat="1" applyFont="1" applyBorder="1" applyAlignment="1">
      <alignment horizontal="center" vertical="center" wrapText="1"/>
    </xf>
    <xf numFmtId="3" fontId="18" fillId="0" borderId="51" xfId="0" applyNumberFormat="1" applyFont="1" applyBorder="1" applyAlignment="1">
      <alignment horizontal="center" vertical="center" wrapText="1"/>
    </xf>
    <xf numFmtId="0" fontId="39" fillId="20" borderId="18" xfId="0" applyFont="1" applyFill="1" applyBorder="1" applyAlignment="1">
      <alignment horizontal="left"/>
    </xf>
    <xf numFmtId="0" fontId="39" fillId="20" borderId="0" xfId="0" applyFont="1" applyFill="1" applyBorder="1" applyAlignment="1">
      <alignment horizontal="left"/>
    </xf>
    <xf numFmtId="3" fontId="83" fillId="12" borderId="20" xfId="0" applyNumberFormat="1" applyFont="1" applyFill="1" applyBorder="1" applyAlignment="1">
      <alignment horizontal="right" vertical="center" wrapText="1"/>
    </xf>
    <xf numFmtId="3" fontId="83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8" fontId="17" fillId="36" borderId="50" xfId="0" applyNumberFormat="1" applyFont="1" applyFill="1" applyBorder="1"/>
    <xf numFmtId="169" fontId="17" fillId="36" borderId="0" xfId="1" quotePrefix="1" applyNumberFormat="1" applyFont="1" applyFill="1" applyBorder="1" applyAlignment="1">
      <alignment horizontal="center"/>
    </xf>
    <xf numFmtId="0" fontId="62" fillId="0" borderId="0" xfId="0" applyFont="1" applyBorder="1"/>
    <xf numFmtId="167" fontId="4" fillId="13" borderId="21" xfId="1" applyNumberFormat="1" applyFont="1" applyFill="1" applyBorder="1"/>
    <xf numFmtId="3" fontId="17" fillId="3" borderId="0" xfId="0" applyNumberFormat="1" applyFont="1" applyFill="1" applyBorder="1" applyAlignment="1">
      <alignment horizontal="left"/>
    </xf>
    <xf numFmtId="3" fontId="17" fillId="36" borderId="18" xfId="0" applyNumberFormat="1" applyFont="1" applyFill="1" applyBorder="1" applyAlignment="1">
      <alignment horizontal="center" wrapText="1"/>
    </xf>
    <xf numFmtId="14" fontId="93" fillId="36" borderId="18" xfId="0" applyNumberFormat="1" applyFont="1" applyFill="1" applyBorder="1" applyAlignment="1">
      <alignment horizontal="center"/>
    </xf>
    <xf numFmtId="14" fontId="93" fillId="36" borderId="19" xfId="0" applyNumberFormat="1" applyFont="1" applyFill="1" applyBorder="1" applyAlignment="1">
      <alignment horizontal="center"/>
    </xf>
    <xf numFmtId="167" fontId="36" fillId="36" borderId="0" xfId="1" applyNumberFormat="1" applyFont="1" applyFill="1" applyBorder="1"/>
    <xf numFmtId="3" fontId="17" fillId="36" borderId="0" xfId="1" applyNumberFormat="1" applyFont="1" applyFill="1" applyBorder="1"/>
    <xf numFmtId="167" fontId="36" fillId="36" borderId="19" xfId="1" applyNumberFormat="1" applyFont="1" applyFill="1" applyBorder="1"/>
    <xf numFmtId="169" fontId="17" fillId="36" borderId="19" xfId="1" quotePrefix="1" applyNumberFormat="1" applyFont="1" applyFill="1" applyBorder="1" applyAlignment="1">
      <alignment horizontal="center"/>
    </xf>
    <xf numFmtId="167" fontId="81" fillId="24" borderId="19" xfId="1" applyNumberFormat="1" applyFont="1" applyFill="1" applyBorder="1"/>
    <xf numFmtId="167" fontId="89" fillId="16" borderId="19" xfId="1" applyNumberFormat="1" applyFont="1" applyFill="1" applyBorder="1"/>
    <xf numFmtId="167" fontId="89" fillId="17" borderId="19" xfId="1" applyNumberFormat="1" applyFont="1" applyFill="1" applyBorder="1"/>
    <xf numFmtId="167" fontId="89" fillId="21" borderId="19" xfId="1" applyNumberFormat="1" applyFont="1" applyFill="1" applyBorder="1"/>
    <xf numFmtId="167" fontId="36" fillId="24" borderId="60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0" fillId="13" borderId="0" xfId="0" applyNumberFormat="1" applyFill="1" applyBorder="1" applyAlignment="1">
      <alignment horizontal="center" wrapText="1"/>
    </xf>
    <xf numFmtId="167" fontId="4" fillId="13" borderId="0" xfId="1" applyNumberFormat="1" applyFont="1" applyFill="1"/>
    <xf numFmtId="0" fontId="0" fillId="13" borderId="51" xfId="0" applyFill="1" applyBorder="1" applyAlignment="1">
      <alignment horizontal="center"/>
    </xf>
    <xf numFmtId="171" fontId="0" fillId="13" borderId="51" xfId="0" applyNumberFormat="1" applyFill="1" applyBorder="1" applyAlignment="1">
      <alignment horizontal="center"/>
    </xf>
    <xf numFmtId="171" fontId="0" fillId="13" borderId="20" xfId="0" applyNumberFormat="1" applyFill="1" applyBorder="1"/>
    <xf numFmtId="3" fontId="0" fillId="13" borderId="20" xfId="0" applyNumberFormat="1" applyFill="1" applyBorder="1"/>
    <xf numFmtId="167" fontId="17" fillId="24" borderId="0" xfId="1" applyNumberFormat="1" applyFont="1" applyFill="1" applyBorder="1" applyAlignment="1"/>
    <xf numFmtId="167" fontId="17" fillId="16" borderId="0" xfId="1" applyNumberFormat="1" applyFont="1" applyFill="1" applyBorder="1" applyAlignment="1"/>
    <xf numFmtId="167" fontId="17" fillId="21" borderId="0" xfId="1" applyNumberFormat="1" applyFont="1" applyFill="1" applyBorder="1" applyAlignment="1"/>
    <xf numFmtId="167" fontId="17" fillId="36" borderId="0" xfId="1" applyNumberFormat="1" applyFont="1" applyFill="1" applyBorder="1" applyAlignment="1"/>
    <xf numFmtId="167" fontId="84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17" fillId="25" borderId="0" xfId="1" applyNumberFormat="1" applyFont="1" applyFill="1" applyBorder="1" applyAlignment="1"/>
    <xf numFmtId="167" fontId="89" fillId="16" borderId="0" xfId="1" applyNumberFormat="1" applyFont="1" applyFill="1" applyBorder="1" applyAlignment="1"/>
    <xf numFmtId="167" fontId="69" fillId="25" borderId="0" xfId="1" applyNumberFormat="1" applyFont="1" applyFill="1" applyBorder="1" applyAlignment="1"/>
    <xf numFmtId="167" fontId="16" fillId="0" borderId="0" xfId="1" applyNumberFormat="1" applyFont="1" applyAlignment="1"/>
    <xf numFmtId="167" fontId="4" fillId="13" borderId="0" xfId="1" applyNumberFormat="1" applyFont="1" applyFill="1" applyBorder="1" applyAlignment="1"/>
    <xf numFmtId="0" fontId="0" fillId="13" borderId="0" xfId="0" applyFill="1" applyAlignment="1"/>
    <xf numFmtId="167" fontId="0" fillId="13" borderId="0" xfId="1" applyNumberFormat="1" applyFont="1" applyFill="1" applyAlignment="1"/>
    <xf numFmtId="3" fontId="0" fillId="13" borderId="0" xfId="0" applyNumberFormat="1" applyFill="1" applyAlignment="1"/>
    <xf numFmtId="167" fontId="10" fillId="12" borderId="27" xfId="0" applyNumberFormat="1" applyFont="1" applyFill="1" applyBorder="1" applyAlignment="1"/>
    <xf numFmtId="0" fontId="0" fillId="0" borderId="0" xfId="0" applyAlignment="1"/>
    <xf numFmtId="0" fontId="62" fillId="0" borderId="0" xfId="0" applyFont="1" applyAlignment="1"/>
    <xf numFmtId="3" fontId="3" fillId="0" borderId="16" xfId="0" applyNumberFormat="1" applyFont="1" applyBorder="1" applyAlignment="1"/>
    <xf numFmtId="3" fontId="3" fillId="0" borderId="21" xfId="0" applyNumberFormat="1" applyFont="1" applyBorder="1" applyAlignment="1"/>
    <xf numFmtId="167" fontId="67" fillId="20" borderId="27" xfId="1" applyNumberFormat="1" applyFont="1" applyFill="1" applyBorder="1" applyAlignment="1"/>
    <xf numFmtId="3" fontId="0" fillId="13" borderId="18" xfId="0" applyNumberFormat="1" applyFill="1" applyBorder="1"/>
    <xf numFmtId="167" fontId="4" fillId="3" borderId="22" xfId="1" applyNumberFormat="1" applyFont="1" applyFill="1" applyBorder="1"/>
    <xf numFmtId="167" fontId="4" fillId="13" borderId="22" xfId="1" applyNumberFormat="1" applyFont="1" applyFill="1" applyBorder="1"/>
    <xf numFmtId="17" fontId="0" fillId="0" borderId="0" xfId="0" applyNumberFormat="1"/>
    <xf numFmtId="3" fontId="0" fillId="0" borderId="39" xfId="0" applyNumberFormat="1" applyBorder="1"/>
    <xf numFmtId="0" fontId="88" fillId="24" borderId="0" xfId="0" applyNumberFormat="1" applyFont="1" applyFill="1" applyBorder="1" applyAlignment="1" applyProtection="1">
      <alignment horizontal="center"/>
    </xf>
    <xf numFmtId="167" fontId="70" fillId="24" borderId="52" xfId="1" applyNumberFormat="1" applyFont="1" applyFill="1" applyBorder="1"/>
    <xf numFmtId="3" fontId="17" fillId="24" borderId="0" xfId="0" applyNumberFormat="1" applyFont="1" applyFill="1" applyAlignment="1">
      <alignment horizontal="left"/>
    </xf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168" fontId="17" fillId="25" borderId="50" xfId="0" applyNumberFormat="1" applyFont="1" applyFill="1" applyBorder="1"/>
    <xf numFmtId="3" fontId="17" fillId="25" borderId="18" xfId="0" applyNumberFormat="1" applyFont="1" applyFill="1" applyBorder="1" applyAlignment="1">
      <alignment horizontal="center" wrapText="1"/>
    </xf>
    <xf numFmtId="171" fontId="17" fillId="25" borderId="19" xfId="0" quotePrefix="1" applyNumberFormat="1" applyFont="1" applyFill="1" applyBorder="1" applyAlignment="1">
      <alignment horizontal="center"/>
    </xf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68" fontId="89" fillId="7" borderId="50" xfId="0" applyNumberFormat="1" applyFont="1" applyFill="1" applyBorder="1"/>
    <xf numFmtId="171" fontId="17" fillId="25" borderId="0" xfId="0" quotePrefix="1" applyNumberFormat="1" applyFont="1" applyFill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71" fontId="17" fillId="24" borderId="19" xfId="0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3" fontId="17" fillId="24" borderId="64" xfId="0" applyNumberFormat="1" applyFont="1" applyFill="1" applyBorder="1"/>
    <xf numFmtId="3" fontId="17" fillId="24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left"/>
    </xf>
    <xf numFmtId="14" fontId="113" fillId="3" borderId="18" xfId="0" applyNumberFormat="1" applyFont="1" applyFill="1" applyBorder="1" applyAlignment="1">
      <alignment horizontal="center"/>
    </xf>
    <xf numFmtId="14" fontId="113" fillId="3" borderId="19" xfId="0" applyNumberFormat="1" applyFont="1" applyFill="1" applyBorder="1" applyAlignment="1">
      <alignment horizontal="center"/>
    </xf>
    <xf numFmtId="14" fontId="93" fillId="24" borderId="19" xfId="0" applyNumberFormat="1" applyFont="1" applyFill="1" applyBorder="1" applyAlignment="1">
      <alignment horizontal="center"/>
    </xf>
    <xf numFmtId="167" fontId="36" fillId="25" borderId="52" xfId="1" applyNumberFormat="1" applyFont="1" applyFill="1" applyBorder="1"/>
    <xf numFmtId="14" fontId="88" fillId="25" borderId="18" xfId="0" applyNumberFormat="1" applyFont="1" applyFill="1" applyBorder="1" applyAlignment="1">
      <alignment horizontal="center"/>
    </xf>
    <xf numFmtId="169" fontId="34" fillId="25" borderId="0" xfId="1" quotePrefix="1" applyNumberFormat="1" applyFont="1" applyFill="1" applyBorder="1" applyAlignment="1">
      <alignment horizontal="center"/>
    </xf>
    <xf numFmtId="167" fontId="89" fillId="25" borderId="0" xfId="1" applyNumberFormat="1" applyFont="1" applyFill="1" applyBorder="1" applyAlignment="1"/>
    <xf numFmtId="171" fontId="17" fillId="24" borderId="60" xfId="0" quotePrefix="1" applyNumberFormat="1" applyFont="1" applyFill="1" applyBorder="1" applyAlignment="1">
      <alignment horizontal="center"/>
    </xf>
    <xf numFmtId="169" fontId="17" fillId="24" borderId="60" xfId="1" quotePrefix="1" applyNumberFormat="1" applyFont="1" applyFill="1" applyBorder="1" applyAlignment="1">
      <alignment horizontal="center"/>
    </xf>
    <xf numFmtId="3" fontId="17" fillId="24" borderId="60" xfId="0" applyNumberFormat="1" applyFont="1" applyFill="1" applyBorder="1"/>
    <xf numFmtId="14" fontId="17" fillId="24" borderId="18" xfId="0" quotePrefix="1" applyNumberFormat="1" applyFont="1" applyFill="1" applyBorder="1" applyAlignment="1">
      <alignment horizontal="center"/>
    </xf>
    <xf numFmtId="14" fontId="17" fillId="24" borderId="19" xfId="0" quotePrefix="1" applyNumberFormat="1" applyFont="1" applyFill="1" applyBorder="1" applyAlignment="1">
      <alignment horizontal="center"/>
    </xf>
    <xf numFmtId="0" fontId="93" fillId="24" borderId="0" xfId="0" applyFont="1" applyFill="1" applyAlignment="1">
      <alignment horizontal="center"/>
    </xf>
    <xf numFmtId="0" fontId="93" fillId="24" borderId="18" xfId="0" applyFont="1" applyFill="1" applyBorder="1" applyAlignment="1">
      <alignment horizontal="center"/>
    </xf>
    <xf numFmtId="167" fontId="17" fillId="25" borderId="19" xfId="1" quotePrefix="1" applyNumberFormat="1" applyFont="1" applyFill="1" applyBorder="1" applyAlignment="1">
      <alignment horizontal="center"/>
    </xf>
    <xf numFmtId="171" fontId="17" fillId="25" borderId="60" xfId="0" quotePrefix="1" applyNumberFormat="1" applyFont="1" applyFill="1" applyBorder="1" applyAlignment="1">
      <alignment horizontal="center"/>
    </xf>
    <xf numFmtId="0" fontId="93" fillId="25" borderId="0" xfId="0" applyNumberFormat="1" applyFont="1" applyFill="1" applyBorder="1" applyAlignment="1" applyProtection="1">
      <alignment horizontal="center"/>
    </xf>
    <xf numFmtId="169" fontId="89" fillId="24" borderId="19" xfId="1" quotePrefix="1" applyNumberFormat="1" applyFont="1" applyFill="1" applyBorder="1" applyAlignment="1">
      <alignment horizontal="center"/>
    </xf>
    <xf numFmtId="168" fontId="34" fillId="24" borderId="50" xfId="0" applyNumberFormat="1" applyFont="1" applyFill="1" applyBorder="1"/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0" xfId="0" applyNumberFormat="1" applyFont="1" applyFill="1" applyBorder="1"/>
    <xf numFmtId="0" fontId="34" fillId="3" borderId="0" xfId="0" applyFont="1" applyFill="1"/>
    <xf numFmtId="0" fontId="115" fillId="23" borderId="27" xfId="0" applyFont="1" applyFill="1" applyBorder="1" applyAlignment="1">
      <alignment horizontal="center"/>
    </xf>
    <xf numFmtId="0" fontId="116" fillId="20" borderId="0" xfId="0" applyFont="1" applyFill="1" applyBorder="1" applyAlignment="1">
      <alignment horizontal="left"/>
    </xf>
    <xf numFmtId="0" fontId="111" fillId="0" borderId="1" xfId="0" applyFont="1" applyBorder="1" applyAlignment="1">
      <alignment horizontal="center" wrapText="1"/>
    </xf>
    <xf numFmtId="167" fontId="61" fillId="0" borderId="1" xfId="0" applyNumberFormat="1" applyFont="1" applyBorder="1"/>
    <xf numFmtId="14" fontId="93" fillId="3" borderId="18" xfId="0" applyNumberFormat="1" applyFont="1" applyFill="1" applyBorder="1" applyAlignment="1">
      <alignment horizontal="center"/>
    </xf>
    <xf numFmtId="14" fontId="93" fillId="3" borderId="19" xfId="0" applyNumberFormat="1" applyFont="1" applyFill="1" applyBorder="1" applyAlignment="1">
      <alignment horizontal="center"/>
    </xf>
    <xf numFmtId="167" fontId="17" fillId="25" borderId="60" xfId="1" applyNumberFormat="1" applyFont="1" applyFill="1" applyBorder="1"/>
    <xf numFmtId="3" fontId="17" fillId="16" borderId="1" xfId="0" applyNumberFormat="1" applyFont="1" applyFill="1" applyBorder="1" applyAlignment="1">
      <alignment horizontal="center" wrapText="1"/>
    </xf>
    <xf numFmtId="3" fontId="114" fillId="25" borderId="0" xfId="0" applyNumberFormat="1" applyFont="1" applyFill="1" applyAlignment="1">
      <alignment horizontal="center" wrapText="1"/>
    </xf>
    <xf numFmtId="168" fontId="76" fillId="25" borderId="50" xfId="0" applyNumberFormat="1" applyFont="1" applyFill="1" applyBorder="1"/>
    <xf numFmtId="0" fontId="76" fillId="25" borderId="0" xfId="1" applyNumberFormat="1" applyFont="1" applyFill="1" applyAlignment="1">
      <alignment horizontal="center"/>
    </xf>
    <xf numFmtId="43" fontId="62" fillId="0" borderId="0" xfId="0" applyNumberFormat="1" applyFont="1"/>
    <xf numFmtId="17" fontId="4" fillId="2" borderId="0" xfId="0" quotePrefix="1" applyNumberFormat="1" applyFont="1" applyFill="1" applyBorder="1" applyAlignment="1">
      <alignment horizontal="center"/>
    </xf>
    <xf numFmtId="167" fontId="4" fillId="2" borderId="19" xfId="1" applyNumberFormat="1" applyFont="1" applyFill="1" applyBorder="1"/>
    <xf numFmtId="17" fontId="4" fillId="2" borderId="0" xfId="0" quotePrefix="1" applyNumberFormat="1" applyFont="1" applyFill="1" applyBorder="1" applyAlignment="1">
      <alignment horizontal="center" vertical="center"/>
    </xf>
    <xf numFmtId="0" fontId="62" fillId="3" borderId="50" xfId="0" applyFont="1" applyFill="1" applyBorder="1"/>
    <xf numFmtId="14" fontId="62" fillId="2" borderId="0" xfId="0" applyNumberFormat="1" applyFont="1" applyFill="1"/>
    <xf numFmtId="167" fontId="16" fillId="3" borderId="0" xfId="0" applyNumberFormat="1" applyFont="1" applyFill="1"/>
    <xf numFmtId="3" fontId="62" fillId="0" borderId="0" xfId="0" applyNumberFormat="1" applyFont="1"/>
    <xf numFmtId="14" fontId="93" fillId="24" borderId="18" xfId="0" applyNumberFormat="1" applyFont="1" applyFill="1" applyBorder="1" applyAlignment="1">
      <alignment horizontal="center"/>
    </xf>
    <xf numFmtId="3" fontId="16" fillId="24" borderId="50" xfId="0" applyNumberFormat="1" applyFont="1" applyFill="1" applyBorder="1" applyAlignment="1">
      <alignment horizontal="left"/>
    </xf>
    <xf numFmtId="1" fontId="13" fillId="9" borderId="40" xfId="0" quotePrefix="1" applyNumberFormat="1" applyFont="1" applyFill="1" applyBorder="1" applyAlignment="1">
      <alignment horizontal="left"/>
    </xf>
    <xf numFmtId="0" fontId="3" fillId="0" borderId="68" xfId="0" applyFont="1" applyBorder="1" applyAlignment="1">
      <alignment horizontal="center" wrapText="1"/>
    </xf>
    <xf numFmtId="0" fontId="3" fillId="0" borderId="69" xfId="0" applyFont="1" applyBorder="1" applyAlignment="1">
      <alignment horizontal="center" wrapText="1"/>
    </xf>
    <xf numFmtId="0" fontId="3" fillId="0" borderId="70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3" fontId="0" fillId="2" borderId="60" xfId="0" applyNumberFormat="1" applyFill="1" applyBorder="1" applyAlignment="1">
      <alignment horizontal="center"/>
    </xf>
    <xf numFmtId="3" fontId="0" fillId="3" borderId="67" xfId="0" applyNumberFormat="1" applyFill="1" applyBorder="1" applyAlignment="1">
      <alignment horizontal="center"/>
    </xf>
    <xf numFmtId="167" fontId="84" fillId="20" borderId="72" xfId="1" applyNumberFormat="1" applyFont="1" applyFill="1" applyBorder="1"/>
    <xf numFmtId="170" fontId="4" fillId="3" borderId="60" xfId="0" quotePrefix="1" applyNumberFormat="1" applyFont="1" applyFill="1" applyBorder="1" applyAlignment="1">
      <alignment horizontal="center"/>
    </xf>
    <xf numFmtId="0" fontId="62" fillId="0" borderId="67" xfId="0" applyFont="1" applyBorder="1" applyAlignment="1">
      <alignment horizontal="center" vertical="center"/>
    </xf>
    <xf numFmtId="14" fontId="62" fillId="2" borderId="60" xfId="0" applyNumberFormat="1" applyFont="1" applyFill="1" applyBorder="1"/>
    <xf numFmtId="14" fontId="62" fillId="3" borderId="60" xfId="0" applyNumberFormat="1" applyFont="1" applyFill="1" applyBorder="1"/>
    <xf numFmtId="14" fontId="62" fillId="2" borderId="73" xfId="0" applyNumberFormat="1" applyFont="1" applyFill="1" applyBorder="1"/>
    <xf numFmtId="3" fontId="14" fillId="0" borderId="0" xfId="0" applyNumberFormat="1" applyFont="1" applyBorder="1" applyAlignment="1">
      <alignment horizontal="right" vertical="center"/>
    </xf>
    <xf numFmtId="43" fontId="0" fillId="0" borderId="0" xfId="0" applyNumberFormat="1" applyBorder="1"/>
    <xf numFmtId="0" fontId="9" fillId="0" borderId="0" xfId="0" applyFont="1" applyAlignment="1">
      <alignment horizontal="center"/>
    </xf>
    <xf numFmtId="0" fontId="117" fillId="0" borderId="0" xfId="0" applyFont="1" applyAlignment="1">
      <alignment horizontal="right"/>
    </xf>
    <xf numFmtId="0" fontId="117" fillId="0" borderId="0" xfId="0" applyFont="1"/>
    <xf numFmtId="0" fontId="118" fillId="0" borderId="0" xfId="0" applyFont="1"/>
    <xf numFmtId="0" fontId="119" fillId="0" borderId="0" xfId="0" applyFont="1" applyAlignment="1">
      <alignment horizontal="center"/>
    </xf>
    <xf numFmtId="165" fontId="117" fillId="0" borderId="52" xfId="1" applyFont="1" applyFill="1" applyBorder="1" applyAlignment="1">
      <alignment horizontal="center" wrapText="1"/>
    </xf>
    <xf numFmtId="43" fontId="117" fillId="0" borderId="0" xfId="0" applyNumberFormat="1" applyFont="1"/>
    <xf numFmtId="165" fontId="117" fillId="0" borderId="0" xfId="1" applyFont="1" applyFill="1" applyBorder="1" applyAlignment="1">
      <alignment horizontal="center" vertical="center"/>
    </xf>
    <xf numFmtId="0" fontId="121" fillId="0" borderId="0" xfId="0" applyFont="1"/>
    <xf numFmtId="43" fontId="122" fillId="0" borderId="0" xfId="0" applyNumberFormat="1" applyFont="1"/>
    <xf numFmtId="0" fontId="123" fillId="0" borderId="0" xfId="0" applyFont="1"/>
    <xf numFmtId="0" fontId="124" fillId="0" borderId="0" xfId="0" applyFont="1"/>
    <xf numFmtId="167" fontId="121" fillId="0" borderId="0" xfId="0" applyNumberFormat="1" applyFont="1"/>
    <xf numFmtId="169" fontId="17" fillId="21" borderId="19" xfId="1" quotePrefix="1" applyNumberFormat="1" applyFont="1" applyFill="1" applyBorder="1" applyAlignment="1">
      <alignment horizontal="center"/>
    </xf>
    <xf numFmtId="3" fontId="17" fillId="21" borderId="18" xfId="0" applyNumberFormat="1" applyFont="1" applyFill="1" applyBorder="1" applyAlignment="1">
      <alignment horizontal="center" wrapText="1"/>
    </xf>
    <xf numFmtId="167" fontId="36" fillId="21" borderId="0" xfId="1" applyNumberFormat="1" applyFont="1" applyFill="1" applyBorder="1"/>
    <xf numFmtId="167" fontId="36" fillId="21" borderId="19" xfId="1" applyNumberFormat="1" applyFont="1" applyFill="1" applyBorder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6" fillId="24" borderId="18" xfId="0" applyNumberFormat="1" applyFont="1" applyFill="1" applyBorder="1" applyAlignment="1">
      <alignment horizontal="center" wrapText="1"/>
    </xf>
    <xf numFmtId="3" fontId="76" fillId="24" borderId="0" xfId="0" applyNumberFormat="1" applyFont="1" applyFill="1" applyAlignment="1">
      <alignment horizontal="center" wrapText="1"/>
    </xf>
    <xf numFmtId="0" fontId="76" fillId="24" borderId="19" xfId="0" applyFont="1" applyFill="1" applyBorder="1" applyAlignment="1">
      <alignment horizontal="center"/>
    </xf>
    <xf numFmtId="167" fontId="76" fillId="24" borderId="18" xfId="1" applyNumberFormat="1" applyFont="1" applyFill="1" applyBorder="1"/>
    <xf numFmtId="167" fontId="76" fillId="24" borderId="0" xfId="1" applyNumberFormat="1" applyFont="1" applyFill="1" applyBorder="1"/>
    <xf numFmtId="167" fontId="76" fillId="24" borderId="19" xfId="1" applyNumberFormat="1" applyFont="1" applyFill="1" applyBorder="1"/>
    <xf numFmtId="170" fontId="76" fillId="24" borderId="0" xfId="0" quotePrefix="1" applyNumberFormat="1" applyFont="1" applyFill="1" applyAlignment="1">
      <alignment horizontal="center"/>
    </xf>
    <xf numFmtId="168" fontId="76" fillId="24" borderId="50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3" fontId="17" fillId="24" borderId="0" xfId="0" applyNumberFormat="1" applyFont="1" applyFill="1" applyBorder="1" applyAlignment="1">
      <alignment horizontal="center" wrapText="1"/>
    </xf>
    <xf numFmtId="3" fontId="17" fillId="25" borderId="0" xfId="0" applyNumberFormat="1" applyFont="1" applyFill="1" applyBorder="1" applyAlignment="1">
      <alignment horizontal="center" wrapText="1"/>
    </xf>
    <xf numFmtId="14" fontId="93" fillId="25" borderId="18" xfId="0" applyNumberFormat="1" applyFont="1" applyFill="1" applyBorder="1" applyAlignment="1">
      <alignment horizontal="center"/>
    </xf>
    <xf numFmtId="14" fontId="93" fillId="25" borderId="19" xfId="0" applyNumberFormat="1" applyFont="1" applyFill="1" applyBorder="1" applyAlignment="1">
      <alignment horizontal="center"/>
    </xf>
    <xf numFmtId="167" fontId="36" fillId="25" borderId="18" xfId="1" applyNumberFormat="1" applyFont="1" applyFill="1" applyBorder="1"/>
    <xf numFmtId="167" fontId="36" fillId="7" borderId="21" xfId="1" applyNumberFormat="1" applyFont="1" applyFill="1" applyBorder="1"/>
    <xf numFmtId="0" fontId="17" fillId="24" borderId="0" xfId="0" applyFont="1" applyFill="1"/>
    <xf numFmtId="14" fontId="125" fillId="24" borderId="18" xfId="0" applyNumberFormat="1" applyFont="1" applyFill="1" applyBorder="1" applyAlignment="1">
      <alignment horizontal="center"/>
    </xf>
    <xf numFmtId="14" fontId="125" fillId="24" borderId="19" xfId="0" applyNumberFormat="1" applyFont="1" applyFill="1" applyBorder="1" applyAlignment="1">
      <alignment horizontal="center"/>
    </xf>
    <xf numFmtId="167" fontId="16" fillId="24" borderId="0" xfId="1" applyNumberFormat="1" applyFont="1" applyFill="1" applyBorder="1"/>
    <xf numFmtId="0" fontId="16" fillId="24" borderId="0" xfId="0" applyFont="1" applyFill="1"/>
    <xf numFmtId="167" fontId="16" fillId="24" borderId="19" xfId="1" applyNumberFormat="1" applyFont="1" applyFill="1" applyBorder="1"/>
    <xf numFmtId="167" fontId="26" fillId="24" borderId="0" xfId="1" applyNumberFormat="1" applyFont="1" applyFill="1" applyBorder="1"/>
    <xf numFmtId="3" fontId="16" fillId="24" borderId="0" xfId="1" applyNumberFormat="1" applyFont="1" applyFill="1" applyBorder="1"/>
    <xf numFmtId="167" fontId="26" fillId="24" borderId="60" xfId="1" applyNumberFormat="1" applyFont="1" applyFill="1" applyBorder="1"/>
    <xf numFmtId="169" fontId="16" fillId="24" borderId="0" xfId="1" quotePrefix="1" applyNumberFormat="1" applyFont="1" applyFill="1" applyBorder="1" applyAlignment="1">
      <alignment horizontal="center"/>
    </xf>
    <xf numFmtId="169" fontId="16" fillId="24" borderId="19" xfId="1" quotePrefix="1" applyNumberFormat="1" applyFont="1" applyFill="1" applyBorder="1" applyAlignment="1">
      <alignment horizontal="center"/>
    </xf>
    <xf numFmtId="168" fontId="16" fillId="24" borderId="50" xfId="0" applyNumberFormat="1" applyFont="1" applyFill="1" applyBorder="1"/>
    <xf numFmtId="167" fontId="16" fillId="24" borderId="0" xfId="1" applyNumberFormat="1" applyFont="1" applyFill="1" applyBorder="1" applyAlignment="1"/>
    <xf numFmtId="0" fontId="17" fillId="13" borderId="0" xfId="0" applyFont="1" applyFill="1"/>
    <xf numFmtId="0" fontId="93" fillId="24" borderId="0" xfId="0" applyNumberFormat="1" applyFont="1" applyFill="1" applyBorder="1" applyAlignment="1" applyProtection="1">
      <alignment horizontal="center"/>
    </xf>
    <xf numFmtId="171" fontId="16" fillId="24" borderId="18" xfId="0" quotePrefix="1" applyNumberFormat="1" applyFont="1" applyFill="1" applyBorder="1" applyAlignment="1">
      <alignment horizontal="center"/>
    </xf>
    <xf numFmtId="171" fontId="16" fillId="24" borderId="19" xfId="0" quotePrefix="1" applyNumberFormat="1" applyFont="1" applyFill="1" applyBorder="1" applyAlignment="1">
      <alignment horizontal="center"/>
    </xf>
    <xf numFmtId="167" fontId="16" fillId="24" borderId="18" xfId="1" applyNumberFormat="1" applyFont="1" applyFill="1" applyBorder="1"/>
    <xf numFmtId="165" fontId="16" fillId="24" borderId="0" xfId="1" applyFont="1" applyFill="1" applyBorder="1"/>
    <xf numFmtId="169" fontId="16" fillId="24" borderId="18" xfId="1" quotePrefix="1" applyNumberFormat="1" applyFont="1" applyFill="1" applyBorder="1" applyAlignment="1">
      <alignment horizontal="center"/>
    </xf>
    <xf numFmtId="165" fontId="45" fillId="0" borderId="0" xfId="1" applyFont="1" applyAlignment="1">
      <alignment vertical="center"/>
    </xf>
    <xf numFmtId="0" fontId="127" fillId="0" borderId="0" xfId="0" applyFont="1"/>
    <xf numFmtId="0" fontId="128" fillId="0" borderId="0" xfId="0" applyFont="1"/>
    <xf numFmtId="0" fontId="131" fillId="0" borderId="0" xfId="0" applyFont="1" applyAlignment="1">
      <alignment wrapText="1"/>
    </xf>
    <xf numFmtId="0" fontId="132" fillId="0" borderId="1" xfId="0" applyFont="1" applyBorder="1" applyAlignment="1">
      <alignment vertical="center" wrapText="1"/>
    </xf>
    <xf numFmtId="0" fontId="132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5" xfId="0" applyNumberFormat="1" applyFont="1" applyFill="1" applyBorder="1" applyAlignment="1">
      <alignment horizontal="center" vertical="center" wrapText="1"/>
    </xf>
    <xf numFmtId="0" fontId="7" fillId="37" borderId="9" xfId="0" applyFont="1" applyFill="1" applyBorder="1" applyAlignment="1">
      <alignment wrapText="1"/>
    </xf>
    <xf numFmtId="0" fontId="7" fillId="37" borderId="55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8" borderId="9" xfId="0" applyFont="1" applyFill="1" applyBorder="1" applyAlignment="1">
      <alignment wrapText="1"/>
    </xf>
    <xf numFmtId="3" fontId="10" fillId="38" borderId="55" xfId="0" applyNumberFormat="1" applyFont="1" applyFill="1" applyBorder="1" applyAlignment="1">
      <alignment horizontal="center" vertical="center" wrapText="1"/>
    </xf>
    <xf numFmtId="0" fontId="132" fillId="37" borderId="9" xfId="0" applyFont="1" applyFill="1" applyBorder="1" applyAlignment="1">
      <alignment wrapText="1"/>
    </xf>
    <xf numFmtId="0" fontId="131" fillId="0" borderId="0" xfId="0" applyFont="1" applyAlignment="1">
      <alignment vertical="center" wrapText="1"/>
    </xf>
    <xf numFmtId="167" fontId="34" fillId="24" borderId="18" xfId="1" applyNumberFormat="1" applyFont="1" applyFill="1" applyBorder="1"/>
    <xf numFmtId="167" fontId="34" fillId="24" borderId="0" xfId="1" applyNumberFormat="1" applyFont="1" applyFill="1" applyBorder="1"/>
    <xf numFmtId="167" fontId="34" fillId="24" borderId="19" xfId="1" applyNumberFormat="1" applyFont="1" applyFill="1" applyBorder="1"/>
    <xf numFmtId="167" fontId="82" fillId="24" borderId="0" xfId="1" applyNumberFormat="1" applyFont="1" applyFill="1" applyBorder="1"/>
    <xf numFmtId="169" fontId="34" fillId="24" borderId="18" xfId="1" quotePrefix="1" applyNumberFormat="1" applyFont="1" applyFill="1" applyBorder="1" applyAlignment="1">
      <alignment horizontal="center"/>
    </xf>
    <xf numFmtId="3" fontId="34" fillId="24" borderId="18" xfId="0" applyNumberFormat="1" applyFont="1" applyFill="1" applyBorder="1" applyAlignment="1">
      <alignment horizontal="center" wrapText="1"/>
    </xf>
    <xf numFmtId="3" fontId="34" fillId="24" borderId="0" xfId="0" applyNumberFormat="1" applyFont="1" applyFill="1" applyBorder="1" applyAlignment="1">
      <alignment horizontal="center" wrapText="1"/>
    </xf>
    <xf numFmtId="14" fontId="34" fillId="24" borderId="18" xfId="0" quotePrefix="1" applyNumberFormat="1" applyFont="1" applyFill="1" applyBorder="1" applyAlignment="1">
      <alignment horizontal="center"/>
    </xf>
    <xf numFmtId="14" fontId="34" fillId="24" borderId="19" xfId="0" quotePrefix="1" applyNumberFormat="1" applyFont="1" applyFill="1" applyBorder="1" applyAlignment="1">
      <alignment horizontal="center"/>
    </xf>
    <xf numFmtId="167" fontId="34" fillId="24" borderId="0" xfId="1" applyNumberFormat="1" applyFont="1" applyFill="1" applyBorder="1" applyAlignment="1"/>
    <xf numFmtId="165" fontId="34" fillId="24" borderId="0" xfId="1" applyFont="1" applyFill="1" applyBorder="1"/>
    <xf numFmtId="167" fontId="82" fillId="24" borderId="19" xfId="1" applyNumberFormat="1" applyFont="1" applyFill="1" applyBorder="1"/>
    <xf numFmtId="169" fontId="34" fillId="24" borderId="0" xfId="1" quotePrefix="1" applyNumberFormat="1" applyFont="1" applyFill="1" applyBorder="1" applyAlignment="1">
      <alignment horizontal="center"/>
    </xf>
    <xf numFmtId="175" fontId="97" fillId="0" borderId="0" xfId="1" applyNumberFormat="1" applyFont="1"/>
    <xf numFmtId="167" fontId="62" fillId="0" borderId="0" xfId="1" applyNumberFormat="1" applyFont="1"/>
    <xf numFmtId="176" fontId="2" fillId="0" borderId="0" xfId="0" applyNumberFormat="1" applyFont="1"/>
    <xf numFmtId="3" fontId="27" fillId="20" borderId="65" xfId="0" applyNumberFormat="1" applyFont="1" applyFill="1" applyBorder="1" applyAlignment="1">
      <alignment horizontal="left"/>
    </xf>
    <xf numFmtId="3" fontId="34" fillId="24" borderId="0" xfId="0" applyNumberFormat="1" applyFont="1" applyFill="1" applyAlignment="1">
      <alignment horizontal="center" wrapText="1"/>
    </xf>
    <xf numFmtId="171" fontId="34" fillId="24" borderId="18" xfId="0" quotePrefix="1" applyNumberFormat="1" applyFont="1" applyFill="1" applyBorder="1" applyAlignment="1">
      <alignment horizontal="center"/>
    </xf>
    <xf numFmtId="171" fontId="34" fillId="24" borderId="19" xfId="0" quotePrefix="1" applyNumberFormat="1" applyFont="1" applyFill="1" applyBorder="1" applyAlignment="1">
      <alignment horizontal="center"/>
    </xf>
    <xf numFmtId="3" fontId="34" fillId="24" borderId="50" xfId="0" applyNumberFormat="1" applyFont="1" applyFill="1" applyBorder="1" applyAlignment="1">
      <alignment horizontal="left"/>
    </xf>
    <xf numFmtId="3" fontId="36" fillId="24" borderId="50" xfId="0" applyNumberFormat="1" applyFont="1" applyFill="1" applyBorder="1" applyAlignment="1">
      <alignment horizontal="left"/>
    </xf>
    <xf numFmtId="169" fontId="133" fillId="24" borderId="18" xfId="1" quotePrefix="1" applyNumberFormat="1" applyFont="1" applyFill="1" applyBorder="1" applyAlignment="1">
      <alignment horizontal="center"/>
    </xf>
    <xf numFmtId="169" fontId="109" fillId="24" borderId="19" xfId="1" quotePrefix="1" applyNumberFormat="1" applyFont="1" applyFill="1" applyBorder="1" applyAlignment="1">
      <alignment horizontal="center"/>
    </xf>
    <xf numFmtId="168" fontId="109" fillId="24" borderId="50" xfId="0" applyNumberFormat="1" applyFont="1" applyFill="1" applyBorder="1"/>
    <xf numFmtId="175" fontId="14" fillId="0" borderId="0" xfId="1" applyNumberFormat="1" applyFont="1" applyAlignment="1">
      <alignment vertical="center"/>
    </xf>
    <xf numFmtId="175" fontId="98" fillId="6" borderId="1" xfId="1" applyNumberFormat="1" applyFont="1" applyFill="1" applyBorder="1" applyAlignment="1">
      <alignment vertical="center" wrapText="1"/>
    </xf>
    <xf numFmtId="175" fontId="96" fillId="6" borderId="1" xfId="1" applyNumberFormat="1" applyFont="1" applyFill="1" applyBorder="1" applyAlignment="1">
      <alignment vertical="center"/>
    </xf>
    <xf numFmtId="175" fontId="99" fillId="0" borderId="0" xfId="1" applyNumberFormat="1" applyFont="1"/>
    <xf numFmtId="175" fontId="0" fillId="0" borderId="0" xfId="1" applyNumberFormat="1" applyFont="1"/>
    <xf numFmtId="175" fontId="96" fillId="13" borderId="1" xfId="0" applyNumberFormat="1" applyFont="1" applyFill="1" applyBorder="1" applyAlignment="1">
      <alignment vertical="center"/>
    </xf>
    <xf numFmtId="175" fontId="0" fillId="0" borderId="0" xfId="0" applyNumberFormat="1" applyAlignment="1">
      <alignment vertical="center"/>
    </xf>
    <xf numFmtId="175" fontId="98" fillId="6" borderId="1" xfId="0" applyNumberFormat="1" applyFont="1" applyFill="1" applyBorder="1" applyAlignment="1">
      <alignment vertical="center" wrapText="1"/>
    </xf>
    <xf numFmtId="175" fontId="96" fillId="6" borderId="1" xfId="0" applyNumberFormat="1" applyFont="1" applyFill="1" applyBorder="1" applyAlignment="1">
      <alignment vertical="center"/>
    </xf>
    <xf numFmtId="175" fontId="97" fillId="0" borderId="0" xfId="0" applyNumberFormat="1" applyFont="1"/>
    <xf numFmtId="175" fontId="0" fillId="0" borderId="0" xfId="0" applyNumberFormat="1"/>
    <xf numFmtId="175" fontId="99" fillId="0" borderId="0" xfId="0" applyNumberFormat="1" applyFont="1"/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7" fillId="7" borderId="22" xfId="1" applyNumberFormat="1" applyFont="1" applyFill="1" applyBorder="1"/>
    <xf numFmtId="167" fontId="70" fillId="7" borderId="22" xfId="1" applyNumberFormat="1" applyFont="1" applyFill="1" applyBorder="1"/>
    <xf numFmtId="0" fontId="3" fillId="0" borderId="68" xfId="0" applyFont="1" applyBorder="1" applyAlignment="1">
      <alignment horizontal="center"/>
    </xf>
    <xf numFmtId="0" fontId="3" fillId="0" borderId="69" xfId="0" applyFont="1" applyBorder="1" applyAlignment="1">
      <alignment horizontal="center"/>
    </xf>
    <xf numFmtId="170" fontId="4" fillId="2" borderId="75" xfId="0" quotePrefix="1" applyNumberFormat="1" applyFont="1" applyFill="1" applyBorder="1" applyAlignment="1">
      <alignment horizontal="center"/>
    </xf>
    <xf numFmtId="171" fontId="17" fillId="3" borderId="60" xfId="0" quotePrefix="1" applyNumberFormat="1" applyFont="1" applyFill="1" applyBorder="1" applyAlignment="1">
      <alignment horizontal="center"/>
    </xf>
    <xf numFmtId="170" fontId="4" fillId="2" borderId="60" xfId="0" quotePrefix="1" applyNumberFormat="1" applyFont="1" applyFill="1" applyBorder="1" applyAlignment="1">
      <alignment horizontal="center"/>
    </xf>
    <xf numFmtId="171" fontId="17" fillId="0" borderId="60" xfId="0" quotePrefix="1" applyNumberFormat="1" applyFont="1" applyBorder="1" applyAlignment="1">
      <alignment horizontal="center" vertical="center"/>
    </xf>
    <xf numFmtId="170" fontId="4" fillId="2" borderId="60" xfId="0" quotePrefix="1" applyNumberFormat="1" applyFont="1" applyFill="1" applyBorder="1" applyAlignment="1">
      <alignment horizontal="center" vertical="center"/>
    </xf>
    <xf numFmtId="171" fontId="17" fillId="3" borderId="60" xfId="0" quotePrefix="1" applyNumberFormat="1" applyFont="1" applyFill="1" applyBorder="1" applyAlignment="1">
      <alignment horizontal="center" vertical="center"/>
    </xf>
    <xf numFmtId="174" fontId="62" fillId="3" borderId="60" xfId="0" applyNumberFormat="1" applyFont="1" applyFill="1" applyBorder="1"/>
    <xf numFmtId="167" fontId="83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0" fontId="39" fillId="20" borderId="19" xfId="0" applyFont="1" applyFill="1" applyBorder="1" applyAlignment="1">
      <alignment horizontal="left"/>
    </xf>
    <xf numFmtId="167" fontId="84" fillId="20" borderId="47" xfId="1" applyNumberFormat="1" applyFont="1" applyFill="1" applyBorder="1" applyAlignment="1"/>
    <xf numFmtId="167" fontId="2" fillId="13" borderId="19" xfId="1" applyNumberFormat="1" applyFont="1" applyFill="1" applyBorder="1"/>
    <xf numFmtId="3" fontId="2" fillId="13" borderId="19" xfId="0" applyNumberFormat="1" applyFont="1" applyFill="1" applyBorder="1"/>
    <xf numFmtId="3" fontId="4" fillId="13" borderId="22" xfId="0" applyNumberFormat="1" applyFont="1" applyFill="1" applyBorder="1"/>
    <xf numFmtId="167" fontId="36" fillId="24" borderId="74" xfId="1" applyNumberFormat="1" applyFont="1" applyFill="1" applyBorder="1"/>
    <xf numFmtId="167" fontId="17" fillId="16" borderId="19" xfId="1" applyNumberFormat="1" applyFont="1" applyFill="1" applyBorder="1"/>
    <xf numFmtId="166" fontId="7" fillId="37" borderId="55" xfId="0" applyNumberFormat="1" applyFont="1" applyFill="1" applyBorder="1" applyAlignment="1">
      <alignment horizontal="center" vertical="center" wrapText="1"/>
    </xf>
    <xf numFmtId="166" fontId="10" fillId="37" borderId="55" xfId="0" applyNumberFormat="1" applyFont="1" applyFill="1" applyBorder="1" applyAlignment="1">
      <alignment horizontal="center" vertical="center" wrapText="1"/>
    </xf>
    <xf numFmtId="177" fontId="7" fillId="37" borderId="55" xfId="0" applyNumberFormat="1" applyFont="1" applyFill="1" applyBorder="1" applyAlignment="1">
      <alignment horizontal="center" vertical="center" wrapText="1"/>
    </xf>
    <xf numFmtId="177" fontId="10" fillId="37" borderId="55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4" fontId="125" fillId="3" borderId="18" xfId="0" applyNumberFormat="1" applyFont="1" applyFill="1" applyBorder="1" applyAlignment="1">
      <alignment horizontal="center"/>
    </xf>
    <xf numFmtId="14" fontId="125" fillId="3" borderId="19" xfId="0" applyNumberFormat="1" applyFont="1" applyFill="1" applyBorder="1" applyAlignment="1">
      <alignment horizontal="center"/>
    </xf>
    <xf numFmtId="167" fontId="89" fillId="17" borderId="0" xfId="1" applyNumberFormat="1" applyFont="1" applyFill="1" applyBorder="1"/>
    <xf numFmtId="167" fontId="89" fillId="17" borderId="0" xfId="1" applyNumberFormat="1" applyFont="1" applyFill="1" applyBorder="1" applyAlignment="1"/>
    <xf numFmtId="167" fontId="95" fillId="17" borderId="0" xfId="1" applyNumberFormat="1" applyFont="1" applyFill="1" applyBorder="1"/>
    <xf numFmtId="3" fontId="89" fillId="7" borderId="0" xfId="0" applyNumberFormat="1" applyFont="1" applyFill="1" applyAlignment="1">
      <alignment horizontal="left"/>
    </xf>
    <xf numFmtId="0" fontId="134" fillId="24" borderId="27" xfId="0" applyFont="1" applyFill="1" applyBorder="1" applyAlignment="1">
      <alignment horizontal="center"/>
    </xf>
    <xf numFmtId="169" fontId="69" fillId="24" borderId="18" xfId="1" quotePrefix="1" applyNumberFormat="1" applyFont="1" applyFill="1" applyBorder="1" applyAlignment="1">
      <alignment horizontal="center"/>
    </xf>
    <xf numFmtId="169" fontId="69" fillId="24" borderId="19" xfId="1" quotePrefix="1" applyNumberFormat="1" applyFont="1" applyFill="1" applyBorder="1" applyAlignment="1">
      <alignment horizontal="center"/>
    </xf>
    <xf numFmtId="168" fontId="69" fillId="24" borderId="50" xfId="0" applyNumberFormat="1" applyFont="1" applyFill="1" applyBorder="1"/>
    <xf numFmtId="169" fontId="17" fillId="24" borderId="74" xfId="1" quotePrefix="1" applyNumberFormat="1" applyFont="1" applyFill="1" applyBorder="1" applyAlignment="1">
      <alignment horizontal="center"/>
    </xf>
    <xf numFmtId="167" fontId="95" fillId="24" borderId="0" xfId="1" applyNumberFormat="1" applyFont="1" applyFill="1" applyBorder="1"/>
    <xf numFmtId="3" fontId="20" fillId="24" borderId="18" xfId="0" applyNumberFormat="1" applyFont="1" applyFill="1" applyBorder="1" applyAlignment="1">
      <alignment horizontal="center" wrapText="1"/>
    </xf>
    <xf numFmtId="167" fontId="36" fillId="24" borderId="18" xfId="1" applyNumberFormat="1" applyFont="1" applyFill="1" applyBorder="1"/>
    <xf numFmtId="3" fontId="84" fillId="20" borderId="27" xfId="1" applyNumberFormat="1" applyFont="1" applyFill="1" applyBorder="1"/>
    <xf numFmtId="171" fontId="16" fillId="24" borderId="0" xfId="0" quotePrefix="1" applyNumberFormat="1" applyFont="1" applyFill="1" applyAlignment="1">
      <alignment horizontal="center"/>
    </xf>
    <xf numFmtId="167" fontId="26" fillId="24" borderId="19" xfId="1" applyNumberFormat="1" applyFont="1" applyFill="1" applyBorder="1"/>
    <xf numFmtId="3" fontId="16" fillId="24" borderId="64" xfId="0" applyNumberFormat="1" applyFont="1" applyFill="1" applyBorder="1"/>
    <xf numFmtId="0" fontId="129" fillId="0" borderId="0" xfId="0" applyFont="1" applyAlignment="1">
      <alignment vertical="center" wrapText="1"/>
    </xf>
    <xf numFmtId="0" fontId="129" fillId="0" borderId="0" xfId="0" applyFont="1" applyAlignment="1">
      <alignment vertical="center"/>
    </xf>
    <xf numFmtId="0" fontId="135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0" fillId="0" borderId="0" xfId="0" applyNumberFormat="1" applyAlignment="1">
      <alignment vertic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39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1" borderId="1" xfId="0" applyFont="1" applyFill="1" applyBorder="1" applyAlignment="1">
      <alignment wrapText="1"/>
    </xf>
    <xf numFmtId="0" fontId="3" fillId="41" borderId="1" xfId="0" applyFont="1" applyFill="1" applyBorder="1"/>
    <xf numFmtId="0" fontId="0" fillId="41" borderId="1" xfId="0" applyFill="1" applyBorder="1" applyAlignment="1">
      <alignment wrapText="1"/>
    </xf>
    <xf numFmtId="0" fontId="0" fillId="41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9" fillId="42" borderId="1" xfId="0" applyFont="1" applyFill="1" applyBorder="1" applyAlignment="1">
      <alignment horizontal="center"/>
    </xf>
    <xf numFmtId="0" fontId="0" fillId="42" borderId="1" xfId="0" applyFill="1" applyBorder="1" applyAlignment="1">
      <alignment horizontal="center"/>
    </xf>
    <xf numFmtId="3" fontId="0" fillId="42" borderId="1" xfId="0" applyNumberFormat="1" applyFill="1" applyBorder="1" applyAlignment="1">
      <alignment horizontal="center"/>
    </xf>
    <xf numFmtId="0" fontId="0" fillId="42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38" fillId="40" borderId="76" xfId="4"/>
    <xf numFmtId="0" fontId="138" fillId="40" borderId="76" xfId="4" applyAlignment="1">
      <alignment horizontal="center"/>
    </xf>
    <xf numFmtId="0" fontId="0" fillId="43" borderId="1" xfId="0" applyFill="1" applyBorder="1"/>
    <xf numFmtId="0" fontId="0" fillId="43" borderId="1" xfId="0" applyFill="1" applyBorder="1" applyAlignment="1">
      <alignment horizontal="center"/>
    </xf>
    <xf numFmtId="0" fontId="140" fillId="41" borderId="1" xfId="0" applyFont="1" applyFill="1" applyBorder="1" applyAlignment="1">
      <alignment horizontal="left"/>
    </xf>
    <xf numFmtId="0" fontId="4" fillId="41" borderId="1" xfId="0" applyFont="1" applyFill="1" applyBorder="1" applyAlignment="1">
      <alignment horizontal="center"/>
    </xf>
    <xf numFmtId="3" fontId="4" fillId="41" borderId="1" xfId="0" applyNumberFormat="1" applyFont="1" applyFill="1" applyBorder="1" applyAlignment="1">
      <alignment horizontal="center"/>
    </xf>
    <xf numFmtId="0" fontId="4" fillId="41" borderId="1" xfId="0" applyFont="1" applyFill="1" applyBorder="1"/>
    <xf numFmtId="3" fontId="0" fillId="2" borderId="1" xfId="0" applyNumberFormat="1" applyFill="1" applyBorder="1"/>
    <xf numFmtId="0" fontId="76" fillId="27" borderId="1" xfId="0" applyFont="1" applyFill="1" applyBorder="1"/>
    <xf numFmtId="3" fontId="76" fillId="27" borderId="1" xfId="0" applyNumberFormat="1" applyFont="1" applyFill="1" applyBorder="1" applyAlignment="1">
      <alignment wrapText="1"/>
    </xf>
    <xf numFmtId="0" fontId="76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6" fillId="43" borderId="1" xfId="0" applyFont="1" applyFill="1" applyBorder="1"/>
    <xf numFmtId="3" fontId="76" fillId="43" borderId="1" xfId="0" applyNumberFormat="1" applyFont="1" applyFill="1" applyBorder="1" applyAlignment="1">
      <alignment horizontal="center"/>
    </xf>
    <xf numFmtId="3" fontId="76" fillId="43" borderId="1" xfId="0" applyNumberFormat="1" applyFont="1" applyFill="1" applyBorder="1"/>
    <xf numFmtId="0" fontId="46" fillId="24" borderId="27" xfId="0" applyFont="1" applyFill="1" applyBorder="1" applyAlignment="1">
      <alignment horizontal="center"/>
    </xf>
    <xf numFmtId="168" fontId="17" fillId="0" borderId="50" xfId="0" applyNumberFormat="1" applyFont="1" applyFill="1" applyBorder="1"/>
    <xf numFmtId="0" fontId="16" fillId="0" borderId="0" xfId="0" applyFont="1" applyFill="1"/>
    <xf numFmtId="14" fontId="93" fillId="3" borderId="0" xfId="0" applyNumberFormat="1" applyFont="1" applyFill="1" applyBorder="1" applyAlignment="1">
      <alignment horizontal="center"/>
    </xf>
    <xf numFmtId="167" fontId="17" fillId="7" borderId="18" xfId="1" applyNumberFormat="1" applyFont="1" applyFill="1" applyBorder="1"/>
    <xf numFmtId="169" fontId="17" fillId="7" borderId="19" xfId="1" quotePrefix="1" applyNumberFormat="1" applyFont="1" applyFill="1" applyBorder="1" applyAlignment="1">
      <alignment horizontal="center"/>
    </xf>
    <xf numFmtId="167" fontId="17" fillId="7" borderId="21" xfId="1" applyNumberFormat="1" applyFont="1" applyFill="1" applyBorder="1"/>
    <xf numFmtId="3" fontId="17" fillId="7" borderId="21" xfId="1" applyNumberFormat="1" applyFont="1" applyFill="1" applyBorder="1"/>
    <xf numFmtId="3" fontId="17" fillId="3" borderId="0" xfId="0" applyNumberFormat="1" applyFont="1" applyFill="1" applyBorder="1" applyAlignment="1">
      <alignment horizontal="center" wrapText="1"/>
    </xf>
    <xf numFmtId="168" fontId="17" fillId="7" borderId="18" xfId="0" applyNumberFormat="1" applyFont="1" applyFill="1" applyBorder="1"/>
    <xf numFmtId="167" fontId="95" fillId="7" borderId="19" xfId="1" applyNumberFormat="1" applyFont="1" applyFill="1" applyBorder="1"/>
    <xf numFmtId="3" fontId="17" fillId="3" borderId="19" xfId="0" applyNumberFormat="1" applyFont="1" applyFill="1" applyBorder="1" applyAlignment="1">
      <alignment horizontal="center" wrapText="1"/>
    </xf>
    <xf numFmtId="168" fontId="17" fillId="7" borderId="0" xfId="0" applyNumberFormat="1" applyFont="1" applyFill="1" applyBorder="1"/>
    <xf numFmtId="168" fontId="17" fillId="24" borderId="19" xfId="0" applyNumberFormat="1" applyFont="1" applyFill="1" applyBorder="1"/>
    <xf numFmtId="167" fontId="70" fillId="7" borderId="18" xfId="1" applyNumberFormat="1" applyFont="1" applyFill="1" applyBorder="1"/>
    <xf numFmtId="1" fontId="17" fillId="24" borderId="50" xfId="0" applyNumberFormat="1" applyFont="1" applyFill="1" applyBorder="1"/>
    <xf numFmtId="167" fontId="17" fillId="16" borderId="18" xfId="1" applyNumberFormat="1" applyFont="1" applyFill="1" applyBorder="1"/>
    <xf numFmtId="167" fontId="17" fillId="16" borderId="22" xfId="1" applyNumberFormat="1" applyFont="1" applyFill="1" applyBorder="1"/>
    <xf numFmtId="3" fontId="20" fillId="20" borderId="31" xfId="0" applyNumberFormat="1" applyFont="1" applyFill="1" applyBorder="1" applyAlignment="1">
      <alignment horizontal="center" wrapText="1"/>
    </xf>
    <xf numFmtId="3" fontId="16" fillId="3" borderId="21" xfId="0" applyNumberFormat="1" applyFont="1" applyFill="1" applyBorder="1" applyAlignment="1">
      <alignment horizontal="center" wrapText="1"/>
    </xf>
    <xf numFmtId="169" fontId="20" fillId="20" borderId="21" xfId="1" quotePrefix="1" applyNumberFormat="1" applyFont="1" applyFill="1" applyBorder="1" applyAlignment="1">
      <alignment horizontal="center"/>
    </xf>
    <xf numFmtId="167" fontId="36" fillId="7" borderId="18" xfId="1" applyNumberFormat="1" applyFont="1" applyFill="1" applyBorder="1"/>
    <xf numFmtId="3" fontId="17" fillId="24" borderId="0" xfId="0" applyNumberFormat="1" applyFont="1" applyFill="1" applyBorder="1" applyAlignment="1">
      <alignment horizontal="left"/>
    </xf>
    <xf numFmtId="167" fontId="0" fillId="0" borderId="0" xfId="0" applyNumberFormat="1" applyAlignment="1">
      <alignment wrapText="1"/>
    </xf>
    <xf numFmtId="165" fontId="0" fillId="0" borderId="0" xfId="0" applyNumberFormat="1"/>
    <xf numFmtId="3" fontId="97" fillId="0" borderId="0" xfId="1" applyNumberFormat="1" applyFont="1"/>
    <xf numFmtId="178" fontId="106" fillId="8" borderId="1" xfId="1" applyNumberFormat="1" applyFont="1" applyFill="1" applyBorder="1" applyAlignment="1">
      <alignment vertical="center"/>
    </xf>
    <xf numFmtId="178" fontId="106" fillId="8" borderId="9" xfId="1" applyNumberFormat="1" applyFont="1" applyFill="1" applyBorder="1" applyAlignment="1">
      <alignment vertical="center"/>
    </xf>
    <xf numFmtId="14" fontId="93" fillId="24" borderId="0" xfId="0" applyNumberFormat="1" applyFont="1" applyFill="1" applyBorder="1" applyAlignment="1">
      <alignment horizontal="center"/>
    </xf>
    <xf numFmtId="168" fontId="17" fillId="24" borderId="18" xfId="0" applyNumberFormat="1" applyFont="1" applyFill="1" applyBorder="1"/>
    <xf numFmtId="167" fontId="89" fillId="24" borderId="60" xfId="1" applyNumberFormat="1" applyFont="1" applyFill="1" applyBorder="1"/>
    <xf numFmtId="3" fontId="7" fillId="8" borderId="1" xfId="0" applyNumberFormat="1" applyFont="1" applyFill="1" applyBorder="1" applyAlignment="1">
      <alignment horizontal="right"/>
    </xf>
    <xf numFmtId="3" fontId="17" fillId="3" borderId="21" xfId="0" applyNumberFormat="1" applyFont="1" applyFill="1" applyBorder="1" applyAlignment="1">
      <alignment horizontal="center" wrapText="1"/>
    </xf>
    <xf numFmtId="14" fontId="93" fillId="3" borderId="21" xfId="0" applyNumberFormat="1" applyFont="1" applyFill="1" applyBorder="1" applyAlignment="1">
      <alignment horizontal="center"/>
    </xf>
    <xf numFmtId="167" fontId="17" fillId="16" borderId="21" xfId="1" applyNumberFormat="1" applyFont="1" applyFill="1" applyBorder="1"/>
    <xf numFmtId="167" fontId="17" fillId="24" borderId="22" xfId="1" applyNumberFormat="1" applyFont="1" applyFill="1" applyBorder="1"/>
    <xf numFmtId="167" fontId="141" fillId="20" borderId="27" xfId="1" applyNumberFormat="1" applyFont="1" applyFill="1" applyBorder="1"/>
    <xf numFmtId="3" fontId="16" fillId="3" borderId="0" xfId="0" applyNumberFormat="1" applyFont="1" applyFill="1" applyBorder="1" applyAlignment="1">
      <alignment horizontal="center" wrapText="1"/>
    </xf>
    <xf numFmtId="3" fontId="84" fillId="20" borderId="77" xfId="0" applyNumberFormat="1" applyFont="1" applyFill="1" applyBorder="1" applyAlignment="1">
      <alignment horizontal="center" wrapText="1"/>
    </xf>
    <xf numFmtId="169" fontId="17" fillId="7" borderId="21" xfId="1" quotePrefix="1" applyNumberFormat="1" applyFont="1" applyFill="1" applyBorder="1" applyAlignment="1">
      <alignment horizontal="center"/>
    </xf>
    <xf numFmtId="169" fontId="17" fillId="7" borderId="18" xfId="1" quotePrefix="1" applyNumberFormat="1" applyFont="1" applyFill="1" applyBorder="1" applyAlignment="1">
      <alignment horizontal="center"/>
    </xf>
    <xf numFmtId="169" fontId="126" fillId="24" borderId="19" xfId="1" quotePrefix="1" applyNumberFormat="1" applyFont="1" applyFill="1" applyBorder="1" applyAlignment="1">
      <alignment horizontal="center"/>
    </xf>
    <xf numFmtId="1" fontId="17" fillId="24" borderId="0" xfId="0" applyNumberFormat="1" applyFont="1" applyFill="1" applyAlignment="1">
      <alignment horizontal="center" wrapText="1"/>
    </xf>
    <xf numFmtId="0" fontId="134" fillId="12" borderId="27" xfId="0" applyFont="1" applyFill="1" applyBorder="1" applyAlignment="1">
      <alignment horizontal="center"/>
    </xf>
    <xf numFmtId="167" fontId="95" fillId="36" borderId="0" xfId="1" applyNumberFormat="1" applyFont="1" applyFill="1" applyBorder="1"/>
    <xf numFmtId="0" fontId="46" fillId="36" borderId="27" xfId="0" applyFont="1" applyFill="1" applyBorder="1" applyAlignment="1">
      <alignment horizontal="center"/>
    </xf>
    <xf numFmtId="168" fontId="17" fillId="36" borderId="0" xfId="0" applyNumberFormat="1" applyFont="1" applyFill="1" applyBorder="1"/>
    <xf numFmtId="3" fontId="46" fillId="12" borderId="27" xfId="0" applyNumberFormat="1" applyFont="1" applyFill="1" applyBorder="1" applyAlignment="1">
      <alignment horizontal="center"/>
    </xf>
    <xf numFmtId="167" fontId="14" fillId="0" borderId="0" xfId="1" applyNumberFormat="1" applyFont="1"/>
    <xf numFmtId="0" fontId="142" fillId="0" borderId="0" xfId="0" applyFont="1" applyAlignment="1">
      <alignment vertical="center"/>
    </xf>
    <xf numFmtId="3" fontId="10" fillId="0" borderId="0" xfId="0" applyNumberFormat="1" applyFont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4" xfId="0" applyFont="1" applyFill="1" applyBorder="1" applyAlignment="1">
      <alignment horizontal="center" vertical="center" wrapText="1"/>
    </xf>
    <xf numFmtId="0" fontId="20" fillId="7" borderId="5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100" fillId="0" borderId="31" xfId="0" applyNumberFormat="1" applyFont="1" applyBorder="1" applyAlignment="1">
      <alignment horizontal="left"/>
    </xf>
    <xf numFmtId="175" fontId="97" fillId="0" borderId="0" xfId="1" applyNumberFormat="1" applyFont="1" applyAlignment="1">
      <alignment horizontal="center" vertical="center"/>
    </xf>
    <xf numFmtId="175" fontId="97" fillId="0" borderId="30" xfId="0" applyNumberFormat="1" applyFont="1" applyBorder="1" applyAlignment="1">
      <alignment horizontal="center" vertical="center"/>
    </xf>
    <xf numFmtId="175" fontId="97" fillId="0" borderId="0" xfId="0" applyNumberFormat="1" applyFont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96" fillId="6" borderId="3" xfId="0" applyNumberFormat="1" applyFont="1" applyFill="1" applyBorder="1" applyAlignment="1">
      <alignment horizontal="center" vertical="center"/>
    </xf>
    <xf numFmtId="3" fontId="96" fillId="6" borderId="4" xfId="0" applyNumberFormat="1" applyFont="1" applyFill="1" applyBorder="1" applyAlignment="1">
      <alignment horizontal="center" vertical="center"/>
    </xf>
    <xf numFmtId="3" fontId="96" fillId="6" borderId="5" xfId="0" applyNumberFormat="1" applyFont="1" applyFill="1" applyBorder="1" applyAlignment="1">
      <alignment horizontal="center" vertical="center"/>
    </xf>
    <xf numFmtId="175" fontId="96" fillId="6" borderId="3" xfId="0" applyNumberFormat="1" applyFont="1" applyFill="1" applyBorder="1" applyAlignment="1">
      <alignment horizontal="center" vertical="center"/>
    </xf>
    <xf numFmtId="175" fontId="96" fillId="6" borderId="4" xfId="0" applyNumberFormat="1" applyFont="1" applyFill="1" applyBorder="1" applyAlignment="1">
      <alignment horizontal="center" vertical="center"/>
    </xf>
    <xf numFmtId="175" fontId="96" fillId="6" borderId="5" xfId="0" applyNumberFormat="1" applyFont="1" applyFill="1" applyBorder="1" applyAlignment="1">
      <alignment horizontal="center" vertical="center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96" fillId="13" borderId="3" xfId="0" applyNumberFormat="1" applyFont="1" applyFill="1" applyBorder="1" applyAlignment="1">
      <alignment horizontal="center" vertical="center"/>
    </xf>
    <xf numFmtId="3" fontId="96" fillId="13" borderId="4" xfId="0" applyNumberFormat="1" applyFont="1" applyFill="1" applyBorder="1" applyAlignment="1">
      <alignment horizontal="center" vertical="center"/>
    </xf>
    <xf numFmtId="3" fontId="96" fillId="13" borderId="5" xfId="0" applyNumberFormat="1" applyFont="1" applyFill="1" applyBorder="1" applyAlignment="1">
      <alignment horizontal="center" vertical="center"/>
    </xf>
    <xf numFmtId="175" fontId="96" fillId="13" borderId="3" xfId="0" applyNumberFormat="1" applyFont="1" applyFill="1" applyBorder="1" applyAlignment="1">
      <alignment horizontal="center" vertical="center"/>
    </xf>
    <xf numFmtId="175" fontId="96" fillId="13" borderId="4" xfId="0" applyNumberFormat="1" applyFont="1" applyFill="1" applyBorder="1" applyAlignment="1">
      <alignment horizontal="center" vertical="center"/>
    </xf>
    <xf numFmtId="175" fontId="96" fillId="13" borderId="5" xfId="0" applyNumberFormat="1" applyFont="1" applyFill="1" applyBorder="1" applyAlignment="1">
      <alignment horizontal="center" vertical="center"/>
    </xf>
    <xf numFmtId="175" fontId="97" fillId="0" borderId="30" xfId="1" applyNumberFormat="1" applyFont="1" applyBorder="1" applyAlignment="1">
      <alignment horizontal="center" vertical="center"/>
    </xf>
    <xf numFmtId="175" fontId="96" fillId="6" borderId="3" xfId="1" applyNumberFormat="1" applyFont="1" applyFill="1" applyBorder="1" applyAlignment="1">
      <alignment horizontal="center" vertical="center"/>
    </xf>
    <xf numFmtId="175" fontId="96" fillId="6" borderId="4" xfId="1" applyNumberFormat="1" applyFont="1" applyFill="1" applyBorder="1" applyAlignment="1">
      <alignment horizontal="center" vertical="center"/>
    </xf>
    <xf numFmtId="175" fontId="96" fillId="6" borderId="5" xfId="1" applyNumberFormat="1" applyFont="1" applyFill="1" applyBorder="1" applyAlignment="1">
      <alignment horizontal="center" vertical="center"/>
    </xf>
    <xf numFmtId="3" fontId="45" fillId="0" borderId="0" xfId="0" applyNumberFormat="1" applyFont="1" applyAlignment="1">
      <alignment horizontal="center" vertical="center"/>
    </xf>
    <xf numFmtId="3" fontId="77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0" fontId="3" fillId="5" borderId="49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7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20" fillId="6" borderId="3" xfId="0" applyNumberFormat="1" applyFont="1" applyFill="1" applyBorder="1" applyAlignment="1">
      <alignment horizontal="center" vertical="center"/>
    </xf>
    <xf numFmtId="167" fontId="120" fillId="6" borderId="4" xfId="0" applyNumberFormat="1" applyFont="1" applyFill="1" applyBorder="1" applyAlignment="1">
      <alignment horizontal="center" vertical="center"/>
    </xf>
    <xf numFmtId="167" fontId="120" fillId="6" borderId="5" xfId="0" applyNumberFormat="1" applyFont="1" applyFill="1" applyBorder="1" applyAlignment="1">
      <alignment horizontal="center" vertical="center"/>
    </xf>
    <xf numFmtId="3" fontId="120" fillId="6" borderId="3" xfId="0" applyNumberFormat="1" applyFont="1" applyFill="1" applyBorder="1" applyAlignment="1">
      <alignment horizontal="center" vertical="center"/>
    </xf>
    <xf numFmtId="3" fontId="120" fillId="6" borderId="4" xfId="0" applyNumberFormat="1" applyFont="1" applyFill="1" applyBorder="1" applyAlignment="1">
      <alignment horizontal="center" vertical="center"/>
    </xf>
    <xf numFmtId="3" fontId="120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17" fillId="6" borderId="3" xfId="0" applyNumberFormat="1" applyFont="1" applyFill="1" applyBorder="1" applyAlignment="1">
      <alignment horizontal="center" vertical="center"/>
    </xf>
    <xf numFmtId="3" fontId="117" fillId="6" borderId="4" xfId="0" applyNumberFormat="1" applyFont="1" applyFill="1" applyBorder="1" applyAlignment="1">
      <alignment horizontal="center" vertical="center"/>
    </xf>
    <xf numFmtId="3" fontId="117" fillId="6" borderId="5" xfId="0" applyNumberFormat="1" applyFont="1" applyFill="1" applyBorder="1" applyAlignment="1">
      <alignment horizontal="center" vertical="center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0" fontId="107" fillId="3" borderId="18" xfId="0" applyFont="1" applyFill="1" applyBorder="1" applyAlignment="1">
      <alignment horizontal="center" vertical="center" wrapText="1"/>
    </xf>
    <xf numFmtId="0" fontId="107" fillId="3" borderId="0" xfId="0" applyFont="1" applyFill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0" fontId="20" fillId="7" borderId="49" xfId="0" applyFont="1" applyFill="1" applyBorder="1" applyAlignment="1">
      <alignment horizontal="center" vertical="center"/>
    </xf>
    <xf numFmtId="0" fontId="20" fillId="7" borderId="51" xfId="0" applyFont="1" applyFill="1" applyBorder="1" applyAlignment="1">
      <alignment horizontal="center" vertical="center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0" fontId="136" fillId="39" borderId="31" xfId="0" applyFont="1" applyFill="1" applyBorder="1" applyAlignment="1">
      <alignment horizontal="center" vertical="center"/>
    </xf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2"/>
  <sheetViews>
    <sheetView topLeftCell="B4" zoomScale="112" zoomScaleNormal="112" workbookViewId="0">
      <selection activeCell="N12" sqref="N12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504" customWidth="1"/>
    <col min="6" max="6" width="8.5703125" style="30" customWidth="1"/>
    <col min="7" max="7" width="9.85546875" style="30" bestFit="1" customWidth="1"/>
    <col min="8" max="8" width="9.42578125" style="30" customWidth="1"/>
    <col min="9" max="9" width="9.85546875" style="31" customWidth="1"/>
    <col min="10" max="10" width="8" style="30" customWidth="1"/>
    <col min="11" max="11" width="9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1204" t="s">
        <v>156</v>
      </c>
      <c r="B1" s="1204"/>
      <c r="C1" s="1204"/>
      <c r="D1" s="1204"/>
      <c r="E1" s="1204"/>
      <c r="F1" s="1204"/>
      <c r="G1" s="1204"/>
      <c r="H1" s="1204"/>
      <c r="I1" s="1204"/>
      <c r="J1" s="1204"/>
      <c r="K1" s="1204"/>
      <c r="L1" s="1204"/>
      <c r="M1" s="1204"/>
      <c r="N1" s="1204"/>
    </row>
    <row r="2" spans="1:14" ht="18.75" x14ac:dyDescent="0.3">
      <c r="A2" s="1204" t="s">
        <v>699</v>
      </c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</row>
    <row r="3" spans="1:14" ht="13.5" thickBot="1" x14ac:dyDescent="0.25">
      <c r="E3" s="517"/>
      <c r="F3" s="518"/>
      <c r="I3" s="43"/>
    </row>
    <row r="4" spans="1:14" s="36" customFormat="1" ht="35.25" customHeight="1" x14ac:dyDescent="0.2">
      <c r="A4" s="1213" t="s">
        <v>41</v>
      </c>
      <c r="B4" s="1230" t="s">
        <v>42</v>
      </c>
      <c r="C4" s="1233" t="s">
        <v>40</v>
      </c>
      <c r="D4" s="1234"/>
      <c r="E4" s="1234"/>
      <c r="F4" s="1235"/>
      <c r="G4" s="1236" t="s">
        <v>123</v>
      </c>
      <c r="H4" s="1237"/>
      <c r="I4" s="1237"/>
      <c r="J4" s="1238"/>
      <c r="K4" s="1211" t="s">
        <v>84</v>
      </c>
      <c r="L4" s="1212"/>
      <c r="M4" s="1205" t="s">
        <v>82</v>
      </c>
      <c r="N4" s="1206"/>
    </row>
    <row r="5" spans="1:14" s="36" customFormat="1" ht="12" x14ac:dyDescent="0.2">
      <c r="A5" s="1214"/>
      <c r="B5" s="1231"/>
      <c r="C5" s="1222" t="s">
        <v>45</v>
      </c>
      <c r="D5" s="1223"/>
      <c r="E5" s="1224"/>
      <c r="F5" s="1225" t="s">
        <v>83</v>
      </c>
      <c r="G5" s="1227" t="s">
        <v>45</v>
      </c>
      <c r="H5" s="1228"/>
      <c r="I5" s="1229"/>
      <c r="J5" s="1220" t="s">
        <v>83</v>
      </c>
      <c r="K5" s="1216" t="s">
        <v>45</v>
      </c>
      <c r="L5" s="1218" t="s">
        <v>83</v>
      </c>
      <c r="M5" s="1207" t="s">
        <v>43</v>
      </c>
      <c r="N5" s="1209" t="s">
        <v>44</v>
      </c>
    </row>
    <row r="6" spans="1:14" s="36" customFormat="1" ht="24.75" customHeight="1" thickBot="1" x14ac:dyDescent="0.25">
      <c r="A6" s="1215"/>
      <c r="B6" s="1232"/>
      <c r="C6" s="149" t="s">
        <v>43</v>
      </c>
      <c r="D6" s="487" t="s">
        <v>44</v>
      </c>
      <c r="E6" s="505" t="s">
        <v>24</v>
      </c>
      <c r="F6" s="1226"/>
      <c r="G6" s="151" t="s">
        <v>43</v>
      </c>
      <c r="H6" s="151" t="s">
        <v>44</v>
      </c>
      <c r="I6" s="151" t="s">
        <v>24</v>
      </c>
      <c r="J6" s="1221"/>
      <c r="K6" s="1217"/>
      <c r="L6" s="1219"/>
      <c r="M6" s="1208"/>
      <c r="N6" s="1210"/>
    </row>
    <row r="7" spans="1:14" s="33" customFormat="1" x14ac:dyDescent="0.2">
      <c r="A7" s="218" t="s">
        <v>85</v>
      </c>
      <c r="B7" s="219"/>
      <c r="C7" s="220"/>
      <c r="D7" s="488"/>
      <c r="E7" s="506"/>
      <c r="F7" s="496"/>
      <c r="G7" s="220"/>
      <c r="H7" s="220"/>
      <c r="I7" s="221"/>
      <c r="J7" s="222"/>
      <c r="K7" s="223">
        <f>E7+I7</f>
        <v>0</v>
      </c>
      <c r="L7" s="224"/>
      <c r="M7" s="225"/>
      <c r="N7" s="226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128370</v>
      </c>
      <c r="D8" s="489">
        <f>'ACT-RDT-PQ BY AMS'!C11</f>
        <v>10140</v>
      </c>
      <c r="E8" s="507">
        <f>'ACT-RDT-PQ BY AMS'!C12</f>
        <v>10140</v>
      </c>
      <c r="F8" s="497">
        <f>E8/'ACT-RDT-PQ BY AMS'!AA17</f>
        <v>1.7894117647058824E-2</v>
      </c>
      <c r="G8" s="152">
        <f>'ACT-RDT-PQ BY AMS'!L10</f>
        <v>709380</v>
      </c>
      <c r="H8" s="152">
        <f>'ACT-RDT-PQ BY AMS'!L11</f>
        <v>294750</v>
      </c>
      <c r="I8" s="153">
        <f>G8+H8</f>
        <v>1004130</v>
      </c>
      <c r="J8" s="154">
        <f>I8/'ACT-RDT-PQ BY AMS'!AA17</f>
        <v>1.7719941176470591</v>
      </c>
      <c r="K8" s="172">
        <f>E8+I8</f>
        <v>1014270</v>
      </c>
      <c r="L8" s="173">
        <f>F8+J8</f>
        <v>1.7898882352941179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22110</v>
      </c>
      <c r="D9" s="489">
        <f>'ACT-RDT-PQ BY AMS'!D11</f>
        <v>180270</v>
      </c>
      <c r="E9" s="507">
        <f>'ACT-RDT-PQ BY AMS'!D12</f>
        <v>202380</v>
      </c>
      <c r="F9" s="497">
        <f>(E9*2)/'ACT-RDT-PQ BY AMS'!AA17</f>
        <v>0.71428235294117648</v>
      </c>
      <c r="G9" s="152">
        <f>'ACT-RDT-PQ BY AMS'!M10</f>
        <v>544740</v>
      </c>
      <c r="H9" s="152">
        <f>'ACT-RDT-PQ BY AMS'!M11</f>
        <v>409740</v>
      </c>
      <c r="I9" s="153">
        <f>G9+H9</f>
        <v>954480</v>
      </c>
      <c r="J9" s="154">
        <f>(I9*2)/'ACT-RDT-PQ BY AMS'!AA17</f>
        <v>3.3687529411764707</v>
      </c>
      <c r="K9" s="172">
        <f t="shared" ref="K9:K23" si="0">E9+I9</f>
        <v>1156860</v>
      </c>
      <c r="L9" s="173">
        <f t="shared" ref="L9:L14" si="1">F9+J9</f>
        <v>4.0830352941176473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43140</v>
      </c>
      <c r="D10" s="489">
        <f>'ACT-RDT-PQ BY AMS'!E11</f>
        <v>0</v>
      </c>
      <c r="E10" s="507">
        <f>'ACT-RDT-PQ BY AMS'!E12</f>
        <v>43140</v>
      </c>
      <c r="F10" s="497">
        <f>(E10*3)/'ACT-RDT-PQ BY AMS'!AA17</f>
        <v>0.22838823529411767</v>
      </c>
      <c r="G10" s="152">
        <f>'ACT-RDT-PQ BY AMS'!N10</f>
        <v>374160</v>
      </c>
      <c r="H10" s="152">
        <f>'ACT-RDT-PQ BY AMS'!N11</f>
        <v>233880</v>
      </c>
      <c r="I10" s="153">
        <f>G10+H10</f>
        <v>608040</v>
      </c>
      <c r="J10" s="154">
        <f>(I10*3)/'ACT-RDT-PQ BY AMS'!AA17</f>
        <v>3.2190352941176474</v>
      </c>
      <c r="K10" s="172">
        <f t="shared" si="0"/>
        <v>651180</v>
      </c>
      <c r="L10" s="173">
        <f t="shared" si="1"/>
        <v>3.4474235294117652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17640</v>
      </c>
      <c r="D11" s="489">
        <f>'ACT-RDT-PQ BY AMS'!F11</f>
        <v>145890</v>
      </c>
      <c r="E11" s="507">
        <f>'ACT-RDT-PQ BY AMS'!F12</f>
        <v>163530</v>
      </c>
      <c r="F11" s="497">
        <f>(E11*4)/'ACT-RDT-PQ BY AMS'!AA17</f>
        <v>1.154329411764706</v>
      </c>
      <c r="G11" s="152">
        <f>'ACT-RDT-PQ BY AMS'!O10</f>
        <v>329910</v>
      </c>
      <c r="H11" s="152">
        <f>'ACT-RDT-PQ BY AMS'!O11</f>
        <v>601410</v>
      </c>
      <c r="I11" s="153">
        <f>G11+H11</f>
        <v>931320</v>
      </c>
      <c r="J11" s="154">
        <f>(I11*4)/'ACT-RDT-PQ BY AMS'!AA17</f>
        <v>6.5740235294117655</v>
      </c>
      <c r="K11" s="172">
        <f>E11+I11</f>
        <v>1094850</v>
      </c>
      <c r="L11" s="173">
        <f t="shared" si="1"/>
        <v>7.7283529411764711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6">
        <f>'ACT-RDT-PQ BY AMS'!G10</f>
        <v>211260</v>
      </c>
      <c r="D12" s="490">
        <f>'ACT-RDT-PQ BY AMS'!G11</f>
        <v>336300</v>
      </c>
      <c r="E12" s="503">
        <f>'ACT-RDT-PQ BY AMS'!G12</f>
        <v>547560</v>
      </c>
      <c r="F12" s="513">
        <f>'ACT-RDT-PQ BY AMS'!C18</f>
        <v>2.1148941176470588</v>
      </c>
      <c r="G12" s="237">
        <f>'ACT-RDT-PQ BY AMS'!P10</f>
        <v>1958190</v>
      </c>
      <c r="H12" s="237">
        <f>'ACT-RDT-PQ BY AMS'!P11</f>
        <v>1539780</v>
      </c>
      <c r="I12" s="155">
        <f>'ACT-RDT-PQ BY AMS'!P12</f>
        <v>3497970</v>
      </c>
      <c r="J12" s="1179">
        <f>'ACT-RDT-PQ BY AMS'!L18</f>
        <v>14.933805882352942</v>
      </c>
      <c r="K12" s="174">
        <f t="shared" si="0"/>
        <v>4045530</v>
      </c>
      <c r="L12" s="516">
        <f>F12+J12</f>
        <v>17.0487</v>
      </c>
      <c r="M12" s="144" t="s">
        <v>670</v>
      </c>
      <c r="N12" s="100" t="s">
        <v>671</v>
      </c>
    </row>
    <row r="13" spans="1:14" s="133" customFormat="1" ht="24" x14ac:dyDescent="0.25">
      <c r="A13" s="176" t="s">
        <v>46</v>
      </c>
      <c r="B13" s="177" t="s">
        <v>31</v>
      </c>
      <c r="C13" s="238">
        <f>'ACT-RDT-PQ BY AMS'!H10</f>
        <v>2636500</v>
      </c>
      <c r="D13" s="491">
        <f>'ACT-RDT-PQ BY AMS'!H11</f>
        <v>0</v>
      </c>
      <c r="E13" s="503">
        <f>'ACT-RDT-PQ BY AMS'!H12</f>
        <v>2636500</v>
      </c>
      <c r="F13" s="514">
        <f>'ACT-RDT-PQ BY AMS'!H18</f>
        <v>1.8944910179640717</v>
      </c>
      <c r="G13" s="239">
        <f>'ACT-RDT-PQ BY AMS'!Q10</f>
        <v>2700400</v>
      </c>
      <c r="H13" s="239">
        <f>'ACT-RDT-PQ BY AMS'!Q11</f>
        <v>0</v>
      </c>
      <c r="I13" s="155">
        <f>'ACT-RDT-PQ BY AMS'!Q12</f>
        <v>2700400</v>
      </c>
      <c r="J13" s="1179">
        <f>I13/'ACT-RDT-PQ BY AMS'!Z17</f>
        <v>1.9404071856287424</v>
      </c>
      <c r="K13" s="175">
        <f t="shared" si="0"/>
        <v>5336900</v>
      </c>
      <c r="L13" s="516">
        <f>F13+J13</f>
        <v>3.8348982035928141</v>
      </c>
      <c r="M13" s="144" t="s">
        <v>697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5">
        <f>'ACT-RDT-PQ BY AMS'!B10</f>
        <v>919750</v>
      </c>
      <c r="D14" s="492">
        <f>'ACT-RDT-PQ BY AMS'!B11</f>
        <v>7000</v>
      </c>
      <c r="E14" s="503">
        <f>'ACT-RDT-PQ BY AMS'!B12</f>
        <v>926750</v>
      </c>
      <c r="F14" s="515">
        <f>'ACT-RDT-PQ BY AMS'!B18</f>
        <v>2.7802500000000001</v>
      </c>
      <c r="G14" s="155">
        <f>'ACT-RDT-PQ BY AMS'!K10</f>
        <v>1713150</v>
      </c>
      <c r="H14" s="155">
        <f>'ACT-RDT-PQ BY AMS'!K11</f>
        <v>2000000</v>
      </c>
      <c r="I14" s="155">
        <f>'ACT-RDT-PQ BY AMS'!K12</f>
        <v>3713150</v>
      </c>
      <c r="J14" s="1180">
        <f>I14/'ACT-RDT-PQ BY AMS'!T17</f>
        <v>11.13945</v>
      </c>
      <c r="K14" s="175">
        <f t="shared" si="0"/>
        <v>4639900</v>
      </c>
      <c r="L14" s="516">
        <f t="shared" si="1"/>
        <v>13.919700000000001</v>
      </c>
      <c r="M14" s="144" t="s">
        <v>707</v>
      </c>
      <c r="N14" s="100" t="s">
        <v>672</v>
      </c>
    </row>
    <row r="15" spans="1:14" x14ac:dyDescent="0.2">
      <c r="A15" s="240"/>
      <c r="B15" s="240"/>
      <c r="C15" s="241"/>
      <c r="D15" s="493"/>
      <c r="E15" s="508">
        <v>0</v>
      </c>
      <c r="F15" s="498"/>
      <c r="G15" s="156"/>
      <c r="H15" s="156"/>
      <c r="I15" s="156"/>
      <c r="J15" s="242"/>
      <c r="K15" s="171"/>
      <c r="L15" s="243"/>
      <c r="M15" s="83"/>
      <c r="N15" s="84"/>
    </row>
    <row r="16" spans="1:14" s="33" customFormat="1" x14ac:dyDescent="0.2">
      <c r="A16" s="163" t="s">
        <v>51</v>
      </c>
      <c r="B16" s="90"/>
      <c r="C16" s="91"/>
      <c r="D16" s="494"/>
      <c r="E16" s="509"/>
      <c r="F16" s="499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0</v>
      </c>
      <c r="D17" s="495">
        <f>' Other A.M.Drugs BY AMS'!B11</f>
        <v>0</v>
      </c>
      <c r="E17" s="510">
        <f>D17+C17</f>
        <v>0</v>
      </c>
      <c r="F17" s="500"/>
      <c r="G17" s="157">
        <f>' Other A.M.Drugs BY AMS'!M10</f>
        <v>624400</v>
      </c>
      <c r="H17" s="157">
        <f>' Other A.M.Drugs BY AMS'!M11</f>
        <v>0</v>
      </c>
      <c r="I17" s="157">
        <f t="shared" ref="I17:I23" si="2">G17+H17</f>
        <v>624400</v>
      </c>
      <c r="J17" s="158"/>
      <c r="K17" s="166">
        <f>E17+I17</f>
        <v>624400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63224</v>
      </c>
      <c r="D18" s="495">
        <f>' Other A.M.Drugs BY AMS'!B11</f>
        <v>0</v>
      </c>
      <c r="E18" s="511">
        <f>D18+C18</f>
        <v>63224</v>
      </c>
      <c r="F18" s="501"/>
      <c r="G18" s="159">
        <f>' Other A.M.Drugs BY AMS'!N10</f>
        <v>27000</v>
      </c>
      <c r="H18" s="159">
        <f>' Other A.M.Drugs BY AMS'!N11</f>
        <v>0</v>
      </c>
      <c r="I18" s="160">
        <f t="shared" si="2"/>
        <v>27000</v>
      </c>
      <c r="J18" s="161"/>
      <c r="K18" s="168">
        <f>E18+I18</f>
        <v>90224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19516</v>
      </c>
      <c r="D19" s="495">
        <f>' Other A.M.Drugs BY AMS'!B11</f>
        <v>0</v>
      </c>
      <c r="E19" s="511">
        <f>D19+C19</f>
        <v>19516</v>
      </c>
      <c r="F19" s="501"/>
      <c r="G19" s="159">
        <f>' Other A.M.Drugs BY AMS'!O10</f>
        <v>21000</v>
      </c>
      <c r="H19" s="159">
        <f>' Other A.M.Drugs BY AMS'!O11</f>
        <v>0</v>
      </c>
      <c r="I19" s="160">
        <f t="shared" si="2"/>
        <v>21000</v>
      </c>
      <c r="J19" s="162"/>
      <c r="K19" s="168">
        <f t="shared" si="0"/>
        <v>40516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25418</v>
      </c>
      <c r="D20" s="495">
        <f>' Other A.M.Drugs BY AMS'!B11</f>
        <v>0</v>
      </c>
      <c r="E20" s="511">
        <f>D20+C20</f>
        <v>25418</v>
      </c>
      <c r="F20" s="501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25418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95">
        <f>' Other A.M.Drugs BY AMS'!B11</f>
        <v>0</v>
      </c>
      <c r="E21" s="511">
        <f>C21+D21</f>
        <v>1760</v>
      </c>
      <c r="F21" s="501"/>
      <c r="G21" s="159">
        <f>' Other A.M.Drugs BY AMS'!Q10</f>
        <v>10000</v>
      </c>
      <c r="H21" s="159">
        <f>' Other A.M.Drugs BY AMS'!Q11</f>
        <v>0</v>
      </c>
      <c r="I21" s="160">
        <f t="shared" si="2"/>
        <v>10000</v>
      </c>
      <c r="J21" s="162"/>
      <c r="K21" s="168">
        <f t="shared" si="0"/>
        <v>11760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52200</v>
      </c>
      <c r="D22" s="495">
        <f>' Other A.M.Drugs BY AMS'!B11</f>
        <v>0</v>
      </c>
      <c r="E22" s="511">
        <f>D22+C22</f>
        <v>52200</v>
      </c>
      <c r="F22" s="501"/>
      <c r="G22" s="159">
        <f>' Other A.M.Drugs BY AMS'!R10</f>
        <v>500000</v>
      </c>
      <c r="H22" s="159">
        <f>' Other A.M.Drugs BY AMS'!Q11</f>
        <v>0</v>
      </c>
      <c r="I22" s="160">
        <f t="shared" si="2"/>
        <v>500000</v>
      </c>
      <c r="J22" s="162"/>
      <c r="K22" s="168">
        <f>E22+I22</f>
        <v>552200</v>
      </c>
      <c r="L22" s="169"/>
      <c r="M22" s="101"/>
      <c r="N22" s="86"/>
    </row>
    <row r="23" spans="1:14" s="305" customFormat="1" ht="24.75" thickBot="1" x14ac:dyDescent="0.25">
      <c r="A23" s="300" t="s">
        <v>136</v>
      </c>
      <c r="B23" s="35" t="s">
        <v>31</v>
      </c>
      <c r="C23" s="306">
        <f>' Other A.M.Drugs BY AMS'!J12</f>
        <v>2433</v>
      </c>
      <c r="D23" s="495">
        <f>' Other A.M.Drugs BY AMS'!B11</f>
        <v>0</v>
      </c>
      <c r="E23" s="512">
        <f>D23+C23</f>
        <v>2433</v>
      </c>
      <c r="F23" s="502"/>
      <c r="G23" s="301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302"/>
      <c r="K23" s="375">
        <f t="shared" si="0"/>
        <v>2433</v>
      </c>
      <c r="L23" s="170"/>
      <c r="M23" s="303"/>
      <c r="N23" s="304"/>
    </row>
    <row r="24" spans="1:14" ht="12" x14ac:dyDescent="0.2">
      <c r="E24" s="30"/>
    </row>
    <row r="25" spans="1:14" x14ac:dyDescent="0.2">
      <c r="E25" s="519"/>
    </row>
    <row r="26" spans="1:14" x14ac:dyDescent="0.2">
      <c r="E26" s="519"/>
    </row>
    <row r="27" spans="1:14" x14ac:dyDescent="0.2">
      <c r="E27" s="520"/>
      <c r="I27" s="30"/>
    </row>
    <row r="28" spans="1:14" x14ac:dyDescent="0.2">
      <c r="E28" s="520"/>
      <c r="I28" s="30"/>
    </row>
    <row r="29" spans="1:14" x14ac:dyDescent="0.2">
      <c r="E29" s="519"/>
    </row>
    <row r="30" spans="1:14" x14ac:dyDescent="0.2">
      <c r="E30" s="519"/>
    </row>
    <row r="31" spans="1:14" x14ac:dyDescent="0.2">
      <c r="E31" s="519"/>
    </row>
    <row r="32" spans="1:14" x14ac:dyDescent="0.2">
      <c r="E32" s="519"/>
    </row>
    <row r="33" spans="5:5" x14ac:dyDescent="0.2">
      <c r="E33" s="519"/>
    </row>
    <row r="34" spans="5:5" x14ac:dyDescent="0.2">
      <c r="E34" s="519"/>
    </row>
    <row r="35" spans="5:5" x14ac:dyDescent="0.2">
      <c r="E35" s="519"/>
    </row>
    <row r="36" spans="5:5" x14ac:dyDescent="0.2">
      <c r="E36" s="519"/>
    </row>
    <row r="37" spans="5:5" x14ac:dyDescent="0.2">
      <c r="E37" s="519"/>
    </row>
    <row r="38" spans="5:5" x14ac:dyDescent="0.2">
      <c r="E38" s="519"/>
    </row>
    <row r="39" spans="5:5" x14ac:dyDescent="0.2">
      <c r="E39" s="519"/>
    </row>
    <row r="40" spans="5:5" x14ac:dyDescent="0.2">
      <c r="E40" s="519"/>
    </row>
    <row r="41" spans="5:5" x14ac:dyDescent="0.2">
      <c r="E41" s="519"/>
    </row>
    <row r="42" spans="5:5" x14ac:dyDescent="0.2">
      <c r="E42" s="519"/>
    </row>
    <row r="43" spans="5:5" x14ac:dyDescent="0.2">
      <c r="E43" s="519"/>
    </row>
    <row r="44" spans="5:5" x14ac:dyDescent="0.2">
      <c r="E44" s="519"/>
    </row>
    <row r="45" spans="5:5" x14ac:dyDescent="0.2">
      <c r="E45" s="519"/>
    </row>
    <row r="46" spans="5:5" x14ac:dyDescent="0.2">
      <c r="E46" s="519"/>
    </row>
    <row r="47" spans="5:5" x14ac:dyDescent="0.2">
      <c r="E47" s="519"/>
    </row>
    <row r="48" spans="5:5" x14ac:dyDescent="0.2">
      <c r="E48" s="519"/>
    </row>
    <row r="49" spans="5:5" x14ac:dyDescent="0.2">
      <c r="E49" s="519"/>
    </row>
    <row r="50" spans="5:5" x14ac:dyDescent="0.2">
      <c r="E50" s="519"/>
    </row>
    <row r="51" spans="5:5" x14ac:dyDescent="0.2">
      <c r="E51" s="519"/>
    </row>
    <row r="52" spans="5:5" x14ac:dyDescent="0.2">
      <c r="E52" s="519"/>
    </row>
    <row r="53" spans="5:5" x14ac:dyDescent="0.2">
      <c r="E53" s="519"/>
    </row>
    <row r="54" spans="5:5" x14ac:dyDescent="0.2">
      <c r="E54" s="519"/>
    </row>
    <row r="55" spans="5:5" x14ac:dyDescent="0.2">
      <c r="E55" s="519"/>
    </row>
    <row r="56" spans="5:5" x14ac:dyDescent="0.2">
      <c r="E56" s="519"/>
    </row>
    <row r="57" spans="5:5" x14ac:dyDescent="0.2">
      <c r="E57" s="519"/>
    </row>
    <row r="58" spans="5:5" x14ac:dyDescent="0.2">
      <c r="E58" s="519"/>
    </row>
    <row r="59" spans="5:5" x14ac:dyDescent="0.2">
      <c r="E59" s="519"/>
    </row>
    <row r="60" spans="5:5" x14ac:dyDescent="0.2">
      <c r="E60" s="519"/>
    </row>
    <row r="61" spans="5:5" x14ac:dyDescent="0.2">
      <c r="E61" s="519"/>
    </row>
    <row r="62" spans="5:5" x14ac:dyDescent="0.2">
      <c r="E62" s="519"/>
    </row>
    <row r="63" spans="5:5" x14ac:dyDescent="0.2">
      <c r="E63" s="519"/>
    </row>
    <row r="64" spans="5:5" x14ac:dyDescent="0.2">
      <c r="E64" s="519"/>
    </row>
    <row r="65" spans="5:5" x14ac:dyDescent="0.2">
      <c r="E65" s="519"/>
    </row>
    <row r="66" spans="5:5" x14ac:dyDescent="0.2">
      <c r="E66" s="519"/>
    </row>
    <row r="67" spans="5:5" x14ac:dyDescent="0.2">
      <c r="E67" s="519"/>
    </row>
    <row r="68" spans="5:5" x14ac:dyDescent="0.2">
      <c r="E68" s="519"/>
    </row>
    <row r="69" spans="5:5" x14ac:dyDescent="0.2">
      <c r="E69" s="519"/>
    </row>
    <row r="70" spans="5:5" x14ac:dyDescent="0.2">
      <c r="E70" s="519"/>
    </row>
    <row r="71" spans="5:5" x14ac:dyDescent="0.2">
      <c r="E71" s="519"/>
    </row>
    <row r="72" spans="5:5" x14ac:dyDescent="0.2">
      <c r="E72" s="519"/>
    </row>
    <row r="73" spans="5:5" x14ac:dyDescent="0.2">
      <c r="E73" s="519"/>
    </row>
    <row r="74" spans="5:5" x14ac:dyDescent="0.2">
      <c r="E74" s="519"/>
    </row>
    <row r="75" spans="5:5" x14ac:dyDescent="0.2">
      <c r="E75" s="519"/>
    </row>
    <row r="76" spans="5:5" x14ac:dyDescent="0.2">
      <c r="E76" s="519"/>
    </row>
    <row r="77" spans="5:5" x14ac:dyDescent="0.2">
      <c r="E77" s="519"/>
    </row>
    <row r="78" spans="5:5" x14ac:dyDescent="0.2">
      <c r="E78" s="519"/>
    </row>
    <row r="79" spans="5:5" x14ac:dyDescent="0.2">
      <c r="E79" s="519"/>
    </row>
    <row r="80" spans="5:5" x14ac:dyDescent="0.2">
      <c r="E80" s="519"/>
    </row>
    <row r="81" spans="5:5" x14ac:dyDescent="0.2">
      <c r="E81" s="519"/>
    </row>
    <row r="82" spans="5:5" x14ac:dyDescent="0.2">
      <c r="E82" s="519"/>
    </row>
    <row r="83" spans="5:5" x14ac:dyDescent="0.2">
      <c r="E83" s="519"/>
    </row>
    <row r="84" spans="5:5" x14ac:dyDescent="0.2">
      <c r="E84" s="519"/>
    </row>
    <row r="85" spans="5:5" x14ac:dyDescent="0.2">
      <c r="E85" s="519"/>
    </row>
    <row r="86" spans="5:5" x14ac:dyDescent="0.2">
      <c r="E86" s="519"/>
    </row>
    <row r="87" spans="5:5" x14ac:dyDescent="0.2">
      <c r="E87" s="519"/>
    </row>
    <row r="88" spans="5:5" x14ac:dyDescent="0.2">
      <c r="E88" s="519"/>
    </row>
    <row r="89" spans="5:5" x14ac:dyDescent="0.2">
      <c r="E89" s="519"/>
    </row>
    <row r="90" spans="5:5" x14ac:dyDescent="0.2">
      <c r="E90" s="519"/>
    </row>
    <row r="91" spans="5:5" x14ac:dyDescent="0.2">
      <c r="E91" s="519"/>
    </row>
    <row r="92" spans="5:5" x14ac:dyDescent="0.2">
      <c r="E92" s="519"/>
    </row>
    <row r="93" spans="5:5" x14ac:dyDescent="0.2">
      <c r="E93" s="519"/>
    </row>
    <row r="94" spans="5:5" x14ac:dyDescent="0.2">
      <c r="E94" s="519"/>
    </row>
    <row r="95" spans="5:5" x14ac:dyDescent="0.2">
      <c r="E95" s="519"/>
    </row>
    <row r="96" spans="5:5" x14ac:dyDescent="0.2">
      <c r="E96" s="519"/>
    </row>
    <row r="97" spans="5:5" x14ac:dyDescent="0.2">
      <c r="E97" s="519"/>
    </row>
    <row r="98" spans="5:5" x14ac:dyDescent="0.2">
      <c r="E98" s="519"/>
    </row>
    <row r="99" spans="5:5" x14ac:dyDescent="0.2">
      <c r="E99" s="519"/>
    </row>
    <row r="100" spans="5:5" x14ac:dyDescent="0.2">
      <c r="E100" s="519"/>
    </row>
    <row r="101" spans="5:5" x14ac:dyDescent="0.2">
      <c r="E101" s="519"/>
    </row>
    <row r="102" spans="5:5" x14ac:dyDescent="0.2">
      <c r="E102" s="519"/>
    </row>
    <row r="103" spans="5:5" x14ac:dyDescent="0.2">
      <c r="E103" s="519"/>
    </row>
    <row r="104" spans="5:5" x14ac:dyDescent="0.2">
      <c r="E104" s="519"/>
    </row>
    <row r="105" spans="5:5" x14ac:dyDescent="0.2">
      <c r="E105" s="519"/>
    </row>
    <row r="106" spans="5:5" x14ac:dyDescent="0.2">
      <c r="E106" s="519"/>
    </row>
    <row r="107" spans="5:5" x14ac:dyDescent="0.2">
      <c r="E107" s="519"/>
    </row>
    <row r="108" spans="5:5" x14ac:dyDescent="0.2">
      <c r="E108" s="519"/>
    </row>
    <row r="109" spans="5:5" x14ac:dyDescent="0.2">
      <c r="E109" s="519"/>
    </row>
    <row r="110" spans="5:5" x14ac:dyDescent="0.2">
      <c r="E110" s="519"/>
    </row>
    <row r="111" spans="5:5" x14ac:dyDescent="0.2">
      <c r="E111" s="519"/>
    </row>
    <row r="112" spans="5:5" x14ac:dyDescent="0.2">
      <c r="E112" s="519"/>
    </row>
    <row r="113" spans="5:5" x14ac:dyDescent="0.2">
      <c r="E113" s="519"/>
    </row>
    <row r="114" spans="5:5" x14ac:dyDescent="0.2">
      <c r="E114" s="519"/>
    </row>
    <row r="115" spans="5:5" x14ac:dyDescent="0.2">
      <c r="E115" s="519"/>
    </row>
    <row r="116" spans="5:5" x14ac:dyDescent="0.2">
      <c r="E116" s="519"/>
    </row>
    <row r="117" spans="5:5" x14ac:dyDescent="0.2">
      <c r="E117" s="519"/>
    </row>
    <row r="118" spans="5:5" x14ac:dyDescent="0.2">
      <c r="E118" s="519"/>
    </row>
    <row r="119" spans="5:5" x14ac:dyDescent="0.2">
      <c r="E119" s="519"/>
    </row>
    <row r="120" spans="5:5" x14ac:dyDescent="0.2">
      <c r="E120" s="519"/>
    </row>
    <row r="121" spans="5:5" x14ac:dyDescent="0.2">
      <c r="E121" s="519"/>
    </row>
    <row r="122" spans="5:5" x14ac:dyDescent="0.2">
      <c r="E122" s="519"/>
    </row>
    <row r="123" spans="5:5" x14ac:dyDescent="0.2">
      <c r="E123" s="519"/>
    </row>
    <row r="124" spans="5:5" x14ac:dyDescent="0.2">
      <c r="E124" s="519"/>
    </row>
    <row r="125" spans="5:5" x14ac:dyDescent="0.2">
      <c r="E125" s="519"/>
    </row>
    <row r="126" spans="5:5" x14ac:dyDescent="0.2">
      <c r="E126" s="519"/>
    </row>
    <row r="127" spans="5:5" x14ac:dyDescent="0.2">
      <c r="E127" s="519"/>
    </row>
    <row r="128" spans="5:5" x14ac:dyDescent="0.2">
      <c r="E128" s="519"/>
    </row>
    <row r="129" spans="5:5" x14ac:dyDescent="0.2">
      <c r="E129" s="519"/>
    </row>
    <row r="130" spans="5:5" x14ac:dyDescent="0.2">
      <c r="E130" s="519"/>
    </row>
    <row r="131" spans="5:5" x14ac:dyDescent="0.2">
      <c r="E131" s="519"/>
    </row>
    <row r="132" spans="5:5" x14ac:dyDescent="0.2">
      <c r="E132" s="519"/>
    </row>
    <row r="133" spans="5:5" x14ac:dyDescent="0.2">
      <c r="E133" s="519"/>
    </row>
    <row r="134" spans="5:5" x14ac:dyDescent="0.2">
      <c r="E134" s="519"/>
    </row>
    <row r="135" spans="5:5" x14ac:dyDescent="0.2">
      <c r="E135" s="519"/>
    </row>
    <row r="136" spans="5:5" x14ac:dyDescent="0.2">
      <c r="E136" s="519"/>
    </row>
    <row r="137" spans="5:5" x14ac:dyDescent="0.2">
      <c r="E137" s="519"/>
    </row>
    <row r="138" spans="5:5" x14ac:dyDescent="0.2">
      <c r="E138" s="519"/>
    </row>
    <row r="139" spans="5:5" x14ac:dyDescent="0.2">
      <c r="E139" s="519"/>
    </row>
    <row r="140" spans="5:5" x14ac:dyDescent="0.2">
      <c r="E140" s="519"/>
    </row>
    <row r="141" spans="5:5" x14ac:dyDescent="0.2">
      <c r="E141" s="519"/>
    </row>
    <row r="142" spans="5:5" x14ac:dyDescent="0.2">
      <c r="E142" s="519"/>
    </row>
    <row r="143" spans="5:5" x14ac:dyDescent="0.2">
      <c r="E143" s="519"/>
    </row>
    <row r="144" spans="5:5" x14ac:dyDescent="0.2">
      <c r="E144" s="519"/>
    </row>
    <row r="145" spans="5:5" x14ac:dyDescent="0.2">
      <c r="E145" s="519"/>
    </row>
    <row r="146" spans="5:5" x14ac:dyDescent="0.2">
      <c r="E146" s="519"/>
    </row>
    <row r="147" spans="5:5" x14ac:dyDescent="0.2">
      <c r="E147" s="519"/>
    </row>
    <row r="148" spans="5:5" x14ac:dyDescent="0.2">
      <c r="E148" s="519"/>
    </row>
    <row r="149" spans="5:5" x14ac:dyDescent="0.2">
      <c r="E149" s="519"/>
    </row>
    <row r="150" spans="5:5" x14ac:dyDescent="0.2">
      <c r="E150" s="519"/>
    </row>
    <row r="151" spans="5:5" x14ac:dyDescent="0.2">
      <c r="E151" s="519"/>
    </row>
    <row r="152" spans="5:5" x14ac:dyDescent="0.2">
      <c r="E152" s="519"/>
    </row>
    <row r="153" spans="5:5" x14ac:dyDescent="0.2">
      <c r="E153" s="519"/>
    </row>
    <row r="154" spans="5:5" x14ac:dyDescent="0.2">
      <c r="E154" s="519"/>
    </row>
    <row r="155" spans="5:5" x14ac:dyDescent="0.2">
      <c r="E155" s="519"/>
    </row>
    <row r="156" spans="5:5" x14ac:dyDescent="0.2">
      <c r="E156" s="519"/>
    </row>
    <row r="157" spans="5:5" x14ac:dyDescent="0.2">
      <c r="E157" s="519"/>
    </row>
    <row r="158" spans="5:5" x14ac:dyDescent="0.2">
      <c r="E158" s="519"/>
    </row>
    <row r="159" spans="5:5" x14ac:dyDescent="0.2">
      <c r="E159" s="519"/>
    </row>
    <row r="160" spans="5:5" x14ac:dyDescent="0.2">
      <c r="E160" s="519"/>
    </row>
    <row r="161" spans="5:5" x14ac:dyDescent="0.2">
      <c r="E161" s="519"/>
    </row>
    <row r="162" spans="5:5" x14ac:dyDescent="0.2">
      <c r="E162" s="519"/>
    </row>
    <row r="163" spans="5:5" x14ac:dyDescent="0.2">
      <c r="E163" s="519"/>
    </row>
    <row r="164" spans="5:5" x14ac:dyDescent="0.2">
      <c r="E164" s="519"/>
    </row>
    <row r="165" spans="5:5" x14ac:dyDescent="0.2">
      <c r="E165" s="519"/>
    </row>
    <row r="166" spans="5:5" x14ac:dyDescent="0.2">
      <c r="E166" s="519"/>
    </row>
    <row r="167" spans="5:5" x14ac:dyDescent="0.2">
      <c r="E167" s="519"/>
    </row>
    <row r="168" spans="5:5" x14ac:dyDescent="0.2">
      <c r="E168" s="519"/>
    </row>
    <row r="169" spans="5:5" x14ac:dyDescent="0.2">
      <c r="E169" s="519"/>
    </row>
    <row r="170" spans="5:5" x14ac:dyDescent="0.2">
      <c r="E170" s="519"/>
    </row>
    <row r="171" spans="5:5" x14ac:dyDescent="0.2">
      <c r="E171" s="519"/>
    </row>
    <row r="172" spans="5:5" x14ac:dyDescent="0.2">
      <c r="E172" s="519"/>
    </row>
    <row r="173" spans="5:5" x14ac:dyDescent="0.2">
      <c r="E173" s="519"/>
    </row>
    <row r="174" spans="5:5" x14ac:dyDescent="0.2">
      <c r="E174" s="519"/>
    </row>
    <row r="175" spans="5:5" x14ac:dyDescent="0.2">
      <c r="E175" s="519"/>
    </row>
    <row r="176" spans="5:5" x14ac:dyDescent="0.2">
      <c r="E176" s="519"/>
    </row>
    <row r="177" spans="5:5" x14ac:dyDescent="0.2">
      <c r="E177" s="519"/>
    </row>
    <row r="178" spans="5:5" x14ac:dyDescent="0.2">
      <c r="E178" s="519"/>
    </row>
    <row r="179" spans="5:5" x14ac:dyDescent="0.2">
      <c r="E179" s="519"/>
    </row>
    <row r="180" spans="5:5" x14ac:dyDescent="0.2">
      <c r="E180" s="519"/>
    </row>
    <row r="181" spans="5:5" x14ac:dyDescent="0.2">
      <c r="E181" s="519"/>
    </row>
    <row r="182" spans="5:5" x14ac:dyDescent="0.2">
      <c r="E182" s="519"/>
    </row>
    <row r="183" spans="5:5" x14ac:dyDescent="0.2">
      <c r="E183" s="519"/>
    </row>
    <row r="184" spans="5:5" x14ac:dyDescent="0.2">
      <c r="E184" s="519"/>
    </row>
    <row r="185" spans="5:5" x14ac:dyDescent="0.2">
      <c r="E185" s="519"/>
    </row>
    <row r="186" spans="5:5" x14ac:dyDescent="0.2">
      <c r="E186" s="519"/>
    </row>
    <row r="187" spans="5:5" x14ac:dyDescent="0.2">
      <c r="E187" s="519"/>
    </row>
    <row r="188" spans="5:5" x14ac:dyDescent="0.2">
      <c r="E188" s="519"/>
    </row>
    <row r="189" spans="5:5" x14ac:dyDescent="0.2">
      <c r="E189" s="519"/>
    </row>
    <row r="190" spans="5:5" x14ac:dyDescent="0.2">
      <c r="E190" s="519"/>
    </row>
    <row r="191" spans="5:5" x14ac:dyDescent="0.2">
      <c r="E191" s="519"/>
    </row>
    <row r="192" spans="5:5" x14ac:dyDescent="0.2">
      <c r="E192" s="519"/>
    </row>
    <row r="193" spans="5:5" x14ac:dyDescent="0.2">
      <c r="E193" s="519"/>
    </row>
    <row r="194" spans="5:5" x14ac:dyDescent="0.2">
      <c r="E194" s="519"/>
    </row>
    <row r="195" spans="5:5" x14ac:dyDescent="0.2">
      <c r="E195" s="519"/>
    </row>
    <row r="196" spans="5:5" x14ac:dyDescent="0.2">
      <c r="E196" s="519"/>
    </row>
    <row r="197" spans="5:5" x14ac:dyDescent="0.2">
      <c r="E197" s="519"/>
    </row>
    <row r="198" spans="5:5" x14ac:dyDescent="0.2">
      <c r="E198" s="519"/>
    </row>
    <row r="199" spans="5:5" x14ac:dyDescent="0.2">
      <c r="E199" s="519"/>
    </row>
    <row r="200" spans="5:5" x14ac:dyDescent="0.2">
      <c r="E200" s="519"/>
    </row>
    <row r="201" spans="5:5" x14ac:dyDescent="0.2">
      <c r="E201" s="519"/>
    </row>
    <row r="202" spans="5:5" x14ac:dyDescent="0.2">
      <c r="E202" s="519"/>
    </row>
    <row r="203" spans="5:5" x14ac:dyDescent="0.2">
      <c r="E203" s="519"/>
    </row>
    <row r="204" spans="5:5" x14ac:dyDescent="0.2">
      <c r="E204" s="519"/>
    </row>
    <row r="205" spans="5:5" x14ac:dyDescent="0.2">
      <c r="E205" s="519"/>
    </row>
    <row r="206" spans="5:5" x14ac:dyDescent="0.2">
      <c r="E206" s="519"/>
    </row>
    <row r="207" spans="5:5" x14ac:dyDescent="0.2">
      <c r="E207" s="519"/>
    </row>
    <row r="208" spans="5:5" x14ac:dyDescent="0.2">
      <c r="E208" s="519"/>
    </row>
    <row r="209" spans="5:5" x14ac:dyDescent="0.2">
      <c r="E209" s="519"/>
    </row>
    <row r="210" spans="5:5" x14ac:dyDescent="0.2">
      <c r="E210" s="519"/>
    </row>
    <row r="211" spans="5:5" x14ac:dyDescent="0.2">
      <c r="E211" s="519"/>
    </row>
    <row r="212" spans="5:5" x14ac:dyDescent="0.2">
      <c r="E212" s="519"/>
    </row>
    <row r="213" spans="5:5" x14ac:dyDescent="0.2">
      <c r="E213" s="519"/>
    </row>
    <row r="214" spans="5:5" x14ac:dyDescent="0.2">
      <c r="E214" s="519"/>
    </row>
    <row r="215" spans="5:5" x14ac:dyDescent="0.2">
      <c r="E215" s="519"/>
    </row>
    <row r="216" spans="5:5" x14ac:dyDescent="0.2">
      <c r="E216" s="519"/>
    </row>
    <row r="217" spans="5:5" x14ac:dyDescent="0.2">
      <c r="E217" s="519"/>
    </row>
    <row r="218" spans="5:5" x14ac:dyDescent="0.2">
      <c r="E218" s="519"/>
    </row>
    <row r="219" spans="5:5" x14ac:dyDescent="0.2">
      <c r="E219" s="519"/>
    </row>
    <row r="220" spans="5:5" x14ac:dyDescent="0.2">
      <c r="E220" s="519"/>
    </row>
    <row r="221" spans="5:5" x14ac:dyDescent="0.2">
      <c r="E221" s="519"/>
    </row>
    <row r="222" spans="5:5" x14ac:dyDescent="0.2">
      <c r="E222" s="519"/>
    </row>
    <row r="223" spans="5:5" x14ac:dyDescent="0.2">
      <c r="E223" s="519"/>
    </row>
    <row r="224" spans="5:5" x14ac:dyDescent="0.2">
      <c r="E224" s="519"/>
    </row>
    <row r="225" spans="5:5" x14ac:dyDescent="0.2">
      <c r="E225" s="519"/>
    </row>
    <row r="226" spans="5:5" x14ac:dyDescent="0.2">
      <c r="E226" s="519"/>
    </row>
    <row r="227" spans="5:5" x14ac:dyDescent="0.2">
      <c r="E227" s="519"/>
    </row>
    <row r="228" spans="5:5" x14ac:dyDescent="0.2">
      <c r="E228" s="519"/>
    </row>
    <row r="229" spans="5:5" x14ac:dyDescent="0.2">
      <c r="E229" s="519"/>
    </row>
    <row r="230" spans="5:5" x14ac:dyDescent="0.2">
      <c r="E230" s="519"/>
    </row>
    <row r="231" spans="5:5" x14ac:dyDescent="0.2">
      <c r="E231" s="519"/>
    </row>
    <row r="232" spans="5:5" x14ac:dyDescent="0.2">
      <c r="E232" s="519"/>
    </row>
    <row r="233" spans="5:5" x14ac:dyDescent="0.2">
      <c r="E233" s="519"/>
    </row>
    <row r="234" spans="5:5" x14ac:dyDescent="0.2">
      <c r="E234" s="519"/>
    </row>
    <row r="235" spans="5:5" x14ac:dyDescent="0.2">
      <c r="E235" s="519"/>
    </row>
    <row r="236" spans="5:5" x14ac:dyDescent="0.2">
      <c r="E236" s="519"/>
    </row>
    <row r="237" spans="5:5" x14ac:dyDescent="0.2">
      <c r="E237" s="519"/>
    </row>
    <row r="238" spans="5:5" x14ac:dyDescent="0.2">
      <c r="E238" s="519"/>
    </row>
    <row r="239" spans="5:5" x14ac:dyDescent="0.2">
      <c r="E239" s="519"/>
    </row>
    <row r="240" spans="5:5" x14ac:dyDescent="0.2">
      <c r="E240" s="519"/>
    </row>
    <row r="241" spans="5:5" x14ac:dyDescent="0.2">
      <c r="E241" s="519"/>
    </row>
    <row r="242" spans="5:5" x14ac:dyDescent="0.2">
      <c r="E242" s="519"/>
    </row>
    <row r="243" spans="5:5" x14ac:dyDescent="0.2">
      <c r="E243" s="519"/>
    </row>
    <row r="244" spans="5:5" x14ac:dyDescent="0.2">
      <c r="E244" s="519"/>
    </row>
    <row r="245" spans="5:5" x14ac:dyDescent="0.2">
      <c r="E245" s="519"/>
    </row>
    <row r="246" spans="5:5" x14ac:dyDescent="0.2">
      <c r="E246" s="519"/>
    </row>
    <row r="247" spans="5:5" x14ac:dyDescent="0.2">
      <c r="E247" s="519"/>
    </row>
    <row r="248" spans="5:5" x14ac:dyDescent="0.2">
      <c r="E248" s="519"/>
    </row>
    <row r="249" spans="5:5" x14ac:dyDescent="0.2">
      <c r="E249" s="519"/>
    </row>
    <row r="250" spans="5:5" x14ac:dyDescent="0.2">
      <c r="E250" s="519"/>
    </row>
    <row r="251" spans="5:5" x14ac:dyDescent="0.2">
      <c r="E251" s="519"/>
    </row>
    <row r="252" spans="5:5" x14ac:dyDescent="0.2">
      <c r="E252" s="519"/>
    </row>
    <row r="253" spans="5:5" x14ac:dyDescent="0.2">
      <c r="E253" s="519"/>
    </row>
    <row r="254" spans="5:5" x14ac:dyDescent="0.2">
      <c r="E254" s="519"/>
    </row>
    <row r="255" spans="5:5" x14ac:dyDescent="0.2">
      <c r="E255" s="519"/>
    </row>
    <row r="256" spans="5:5" x14ac:dyDescent="0.2">
      <c r="E256" s="519"/>
    </row>
    <row r="257" spans="5:5" x14ac:dyDescent="0.2">
      <c r="E257" s="519"/>
    </row>
    <row r="258" spans="5:5" x14ac:dyDescent="0.2">
      <c r="E258" s="519"/>
    </row>
    <row r="259" spans="5:5" x14ac:dyDescent="0.2">
      <c r="E259" s="519"/>
    </row>
    <row r="260" spans="5:5" x14ac:dyDescent="0.2">
      <c r="E260" s="519"/>
    </row>
    <row r="261" spans="5:5" x14ac:dyDescent="0.2">
      <c r="E261" s="519"/>
    </row>
    <row r="262" spans="5:5" x14ac:dyDescent="0.2">
      <c r="E262" s="519"/>
    </row>
    <row r="263" spans="5:5" x14ac:dyDescent="0.2">
      <c r="E263" s="519"/>
    </row>
    <row r="264" spans="5:5" x14ac:dyDescent="0.2">
      <c r="E264" s="519"/>
    </row>
    <row r="265" spans="5:5" x14ac:dyDescent="0.2">
      <c r="E265" s="519"/>
    </row>
    <row r="266" spans="5:5" x14ac:dyDescent="0.2">
      <c r="E266" s="519"/>
    </row>
    <row r="267" spans="5:5" x14ac:dyDescent="0.2">
      <c r="E267" s="519"/>
    </row>
    <row r="268" spans="5:5" x14ac:dyDescent="0.2">
      <c r="E268" s="519"/>
    </row>
    <row r="269" spans="5:5" x14ac:dyDescent="0.2">
      <c r="E269" s="519"/>
    </row>
    <row r="270" spans="5:5" x14ac:dyDescent="0.2">
      <c r="E270" s="519"/>
    </row>
    <row r="271" spans="5:5" x14ac:dyDescent="0.2">
      <c r="E271" s="519"/>
    </row>
    <row r="272" spans="5:5" x14ac:dyDescent="0.2">
      <c r="E272" s="519"/>
    </row>
    <row r="273" spans="5:5" x14ac:dyDescent="0.2">
      <c r="E273" s="519"/>
    </row>
    <row r="274" spans="5:5" x14ac:dyDescent="0.2">
      <c r="E274" s="519"/>
    </row>
    <row r="275" spans="5:5" x14ac:dyDescent="0.2">
      <c r="E275" s="519"/>
    </row>
    <row r="276" spans="5:5" x14ac:dyDescent="0.2">
      <c r="E276" s="519"/>
    </row>
    <row r="277" spans="5:5" x14ac:dyDescent="0.2">
      <c r="E277" s="519"/>
    </row>
    <row r="278" spans="5:5" x14ac:dyDescent="0.2">
      <c r="E278" s="521"/>
    </row>
    <row r="279" spans="5:5" x14ac:dyDescent="0.2">
      <c r="E279" s="521"/>
    </row>
    <row r="280" spans="5:5" x14ac:dyDescent="0.2">
      <c r="E280" s="521"/>
    </row>
    <row r="281" spans="5:5" x14ac:dyDescent="0.2">
      <c r="E281" s="521"/>
    </row>
    <row r="282" spans="5:5" x14ac:dyDescent="0.2">
      <c r="E282" s="521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tabSelected="1" zoomScale="95" zoomScaleNormal="95" workbookViewId="0">
      <selection activeCell="B11" sqref="B11:F11"/>
    </sheetView>
  </sheetViews>
  <sheetFormatPr defaultRowHeight="15" x14ac:dyDescent="0.25"/>
  <cols>
    <col min="1" max="1" width="11.140625" customWidth="1"/>
    <col min="2" max="2" width="14.140625" style="1" customWidth="1"/>
    <col min="3" max="3" width="7.7109375" style="1" customWidth="1"/>
    <col min="4" max="4" width="7.8554687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9.140625" customWidth="1"/>
    <col min="14" max="14" width="9.28515625" customWidth="1"/>
    <col min="15" max="15" width="9.7109375" customWidth="1"/>
    <col min="16" max="16" width="9.5703125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471" t="s">
        <v>100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S1" s="471"/>
      <c r="T1" s="471"/>
      <c r="U1" s="471"/>
      <c r="V1" s="471"/>
      <c r="W1" s="471"/>
      <c r="X1" s="471"/>
      <c r="Y1" s="471"/>
      <c r="Z1" s="471"/>
      <c r="AA1" s="471"/>
    </row>
    <row r="2" spans="1:33" x14ac:dyDescent="0.25">
      <c r="Q2" s="1"/>
    </row>
    <row r="3" spans="1:33" s="8" customFormat="1" ht="21" customHeight="1" x14ac:dyDescent="0.3">
      <c r="A3" s="1239" t="s">
        <v>712</v>
      </c>
      <c r="B3" s="1239"/>
      <c r="C3" s="1239"/>
      <c r="D3" s="1239"/>
      <c r="E3" s="1239"/>
      <c r="F3" s="1239"/>
      <c r="G3" s="1239"/>
      <c r="H3" s="1239"/>
      <c r="I3"/>
      <c r="J3" s="482" t="s">
        <v>0</v>
      </c>
      <c r="Q3" s="7"/>
      <c r="S3" s="8" t="s">
        <v>105</v>
      </c>
    </row>
    <row r="4" spans="1:33" ht="30" x14ac:dyDescent="0.25">
      <c r="A4" s="183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292" t="s">
        <v>7</v>
      </c>
      <c r="H4" s="185" t="s">
        <v>19</v>
      </c>
      <c r="J4" s="197" t="s">
        <v>1</v>
      </c>
      <c r="K4" s="198" t="s">
        <v>2</v>
      </c>
      <c r="L4" s="198" t="s">
        <v>3</v>
      </c>
      <c r="M4" s="198" t="s">
        <v>4</v>
      </c>
      <c r="N4" s="198" t="s">
        <v>5</v>
      </c>
      <c r="O4" s="198" t="s">
        <v>6</v>
      </c>
      <c r="P4" s="313" t="s">
        <v>7</v>
      </c>
      <c r="Q4" s="199" t="s">
        <v>19</v>
      </c>
      <c r="R4" s="8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ht="15.75" x14ac:dyDescent="0.25">
      <c r="A5" s="186" t="s">
        <v>8</v>
      </c>
      <c r="B5" s="187">
        <f>82500+158175</f>
        <v>240675</v>
      </c>
      <c r="C5" s="187">
        <v>102360</v>
      </c>
      <c r="D5" s="187">
        <v>8580</v>
      </c>
      <c r="E5" s="187">
        <v>3600</v>
      </c>
      <c r="F5" s="187">
        <v>3600</v>
      </c>
      <c r="G5" s="293">
        <f>C5+D5+E5+F5</f>
        <v>118140</v>
      </c>
      <c r="H5" s="187">
        <v>230000</v>
      </c>
      <c r="I5" s="1176"/>
      <c r="J5" s="200" t="s">
        <v>8</v>
      </c>
      <c r="K5" s="201">
        <f>'NDoH Outstanding Orders'!E77</f>
        <v>266825</v>
      </c>
      <c r="L5" s="201">
        <f>'NDoH Outstanding Orders'!F77</f>
        <v>176400</v>
      </c>
      <c r="M5" s="201">
        <f>'NDoH Outstanding Orders'!G77</f>
        <v>116400</v>
      </c>
      <c r="N5" s="201">
        <f>'NDoH Outstanding Orders'!H77</f>
        <v>118560</v>
      </c>
      <c r="O5" s="201">
        <f>'NDoH Outstanding Orders'!I77</f>
        <v>118560</v>
      </c>
      <c r="P5" s="196">
        <f t="shared" ref="P5:P9" si="0">L5+M5+N5+O5</f>
        <v>529920</v>
      </c>
      <c r="Q5" s="201">
        <f>'NDoH Outstanding Orders'!K77</f>
        <v>1100000</v>
      </c>
      <c r="R5" s="8"/>
      <c r="S5" s="13" t="s">
        <v>8</v>
      </c>
      <c r="T5" s="14">
        <f>B5+K5</f>
        <v>507500</v>
      </c>
      <c r="U5" s="14">
        <f t="shared" ref="T5:Z12" si="1">C5+L5</f>
        <v>278760</v>
      </c>
      <c r="V5" s="14">
        <f t="shared" si="1"/>
        <v>124980</v>
      </c>
      <c r="W5" s="14">
        <f t="shared" si="1"/>
        <v>122160</v>
      </c>
      <c r="X5" s="14">
        <f t="shared" si="1"/>
        <v>122160</v>
      </c>
      <c r="Y5" s="14">
        <f t="shared" si="1"/>
        <v>648060</v>
      </c>
      <c r="Z5" s="14">
        <f>H5+Q5</f>
        <v>1330000</v>
      </c>
      <c r="AA5" s="16">
        <f>U5+(V5*2)+(W5*3)+(X5*4)</f>
        <v>1383840</v>
      </c>
      <c r="AC5"/>
      <c r="AD5"/>
      <c r="AE5"/>
      <c r="AF5"/>
      <c r="AG5"/>
    </row>
    <row r="6" spans="1:33" s="6" customFormat="1" ht="15.75" x14ac:dyDescent="0.25">
      <c r="A6" s="186" t="s">
        <v>9</v>
      </c>
      <c r="B6" s="187">
        <f>3124*25</f>
        <v>78100</v>
      </c>
      <c r="C6" s="187">
        <f>173*30</f>
        <v>5190</v>
      </c>
      <c r="D6" s="187">
        <f>279*30</f>
        <v>8370</v>
      </c>
      <c r="E6" s="187">
        <f>260*30</f>
        <v>7800</v>
      </c>
      <c r="F6" s="187">
        <f>215*30</f>
        <v>6450</v>
      </c>
      <c r="G6" s="293">
        <f>C6+D6+E6+F6</f>
        <v>27810</v>
      </c>
      <c r="H6" s="187">
        <f>6450*100</f>
        <v>645000</v>
      </c>
      <c r="I6" s="2"/>
      <c r="J6" s="200" t="s">
        <v>9</v>
      </c>
      <c r="K6" s="201">
        <f>'NDoH Outstanding Orders'!E138</f>
        <v>325000</v>
      </c>
      <c r="L6" s="201">
        <f>'NDoH Outstanding Orders'!F138</f>
        <v>90000</v>
      </c>
      <c r="M6" s="201">
        <f>'NDoH Outstanding Orders'!G138</f>
        <v>69540</v>
      </c>
      <c r="N6" s="201">
        <f>'NDoH Outstanding Orders'!H138</f>
        <v>60000</v>
      </c>
      <c r="O6" s="201">
        <f>'NDoH Outstanding Orders'!I138</f>
        <v>30000</v>
      </c>
      <c r="P6" s="196">
        <f t="shared" si="0"/>
        <v>249540</v>
      </c>
      <c r="Q6" s="201">
        <f>'NDoH Outstanding Orders'!K138</f>
        <v>600000</v>
      </c>
      <c r="R6" s="8"/>
      <c r="S6" s="13" t="s">
        <v>9</v>
      </c>
      <c r="T6" s="14">
        <f t="shared" si="1"/>
        <v>403100</v>
      </c>
      <c r="U6" s="14">
        <f>C6+L6</f>
        <v>95190</v>
      </c>
      <c r="V6" s="14">
        <f t="shared" si="1"/>
        <v>77910</v>
      </c>
      <c r="W6" s="14">
        <f t="shared" si="1"/>
        <v>67800</v>
      </c>
      <c r="X6" s="14">
        <f>F6+O6</f>
        <v>36450</v>
      </c>
      <c r="Y6" s="14">
        <f t="shared" si="1"/>
        <v>277350</v>
      </c>
      <c r="Z6" s="14">
        <f t="shared" si="1"/>
        <v>1245000</v>
      </c>
      <c r="AA6" s="16">
        <f t="shared" ref="AA6:AA12" si="2">U6+(V6*2)+(W6*3)+(X6*4)</f>
        <v>600210</v>
      </c>
      <c r="AC6"/>
      <c r="AD6"/>
      <c r="AE6"/>
      <c r="AF6"/>
      <c r="AG6"/>
    </row>
    <row r="7" spans="1:33" s="6" customFormat="1" x14ac:dyDescent="0.25">
      <c r="A7" s="186" t="s">
        <v>11</v>
      </c>
      <c r="B7" s="187">
        <f>4591*25</f>
        <v>114775</v>
      </c>
      <c r="C7" s="187">
        <f>358*30</f>
        <v>10740</v>
      </c>
      <c r="D7" s="187">
        <f>141*30</f>
        <v>4230</v>
      </c>
      <c r="E7" s="187">
        <f>344*30</f>
        <v>10320</v>
      </c>
      <c r="F7" s="187">
        <v>0</v>
      </c>
      <c r="G7" s="293">
        <f>C7+D7+E7+F7</f>
        <v>25290</v>
      </c>
      <c r="H7" s="187">
        <f>2290*100</f>
        <v>229000</v>
      </c>
      <c r="I7" s="2"/>
      <c r="J7" s="200" t="s">
        <v>11</v>
      </c>
      <c r="K7" s="201">
        <f>'NDoH Outstanding Orders'!E192</f>
        <v>412500</v>
      </c>
      <c r="L7" s="201">
        <f>'NDoH Outstanding Orders'!F192</f>
        <v>60000</v>
      </c>
      <c r="M7" s="201">
        <f>'NDoH Outstanding Orders'!G192</f>
        <v>60000</v>
      </c>
      <c r="N7" s="201">
        <f>'NDoH Outstanding Orders'!H192</f>
        <v>30000</v>
      </c>
      <c r="O7" s="201">
        <f>'NDoH Outstanding Orders'!I192</f>
        <v>30030</v>
      </c>
      <c r="P7" s="196">
        <f t="shared" si="0"/>
        <v>180030</v>
      </c>
      <c r="Q7" s="201">
        <f>'NDoH Outstanding Orders'!K192</f>
        <v>200400</v>
      </c>
      <c r="S7" s="13" t="s">
        <v>11</v>
      </c>
      <c r="T7" s="14">
        <f>B7+K7</f>
        <v>527275</v>
      </c>
      <c r="U7" s="14">
        <f>C7+L7</f>
        <v>70740</v>
      </c>
      <c r="V7" s="14">
        <f>D7+M7</f>
        <v>64230</v>
      </c>
      <c r="W7" s="14">
        <f>E7+N7</f>
        <v>40320</v>
      </c>
      <c r="X7" s="14">
        <f>F7+O7</f>
        <v>30030</v>
      </c>
      <c r="Y7" s="14">
        <f>G7+P7</f>
        <v>205320</v>
      </c>
      <c r="Z7" s="14">
        <f>H7+Q7</f>
        <v>429400</v>
      </c>
      <c r="AA7" s="16">
        <f>U7+(V7*2)+(W7*3)+(X7*4)</f>
        <v>440280</v>
      </c>
      <c r="AC7"/>
      <c r="AD7"/>
      <c r="AE7"/>
      <c r="AF7"/>
      <c r="AG7"/>
    </row>
    <row r="8" spans="1:33" s="6" customFormat="1" x14ac:dyDescent="0.25">
      <c r="A8" s="186" t="s">
        <v>10</v>
      </c>
      <c r="B8" s="187">
        <f>7570*25</f>
        <v>189250</v>
      </c>
      <c r="C8" s="187">
        <v>0</v>
      </c>
      <c r="D8" s="187">
        <f>30*30</f>
        <v>900</v>
      </c>
      <c r="E8" s="187">
        <v>0</v>
      </c>
      <c r="F8" s="187">
        <v>0</v>
      </c>
      <c r="G8" s="293">
        <f>C8+D8+E8+F8</f>
        <v>900</v>
      </c>
      <c r="H8" s="187">
        <f>(5000+500+2465)*100</f>
        <v>796500</v>
      </c>
      <c r="I8" s="2"/>
      <c r="J8" s="200" t="s">
        <v>10</v>
      </c>
      <c r="K8" s="201">
        <f>'NDoH Outstanding Orders'!E258</f>
        <v>225000</v>
      </c>
      <c r="L8" s="201">
        <f>'NDoH Outstanding Orders'!F258</f>
        <v>277800</v>
      </c>
      <c r="M8" s="201">
        <f>'NDoH Outstanding Orders'!G258</f>
        <v>208800</v>
      </c>
      <c r="N8" s="201">
        <f>'NDoH Outstanding Orders'!H258</f>
        <v>82800</v>
      </c>
      <c r="O8" s="201">
        <f>'NDoH Outstanding Orders'!I258</f>
        <v>82800</v>
      </c>
      <c r="P8" s="196">
        <f>L8+M8+N8+O8</f>
        <v>652200</v>
      </c>
      <c r="Q8" s="201">
        <f>'NDoH Outstanding Orders'!K258</f>
        <v>200000</v>
      </c>
      <c r="S8" s="13" t="s">
        <v>10</v>
      </c>
      <c r="T8" s="14">
        <f t="shared" si="1"/>
        <v>414250</v>
      </c>
      <c r="U8" s="14">
        <f t="shared" si="1"/>
        <v>277800</v>
      </c>
      <c r="V8" s="14">
        <f t="shared" si="1"/>
        <v>209700</v>
      </c>
      <c r="W8" s="14">
        <f t="shared" si="1"/>
        <v>82800</v>
      </c>
      <c r="X8" s="14">
        <f t="shared" si="1"/>
        <v>82800</v>
      </c>
      <c r="Y8" s="14">
        <f t="shared" si="1"/>
        <v>653100</v>
      </c>
      <c r="Z8" s="14">
        <v>80000</v>
      </c>
      <c r="AA8" s="16">
        <f t="shared" si="2"/>
        <v>1276800</v>
      </c>
      <c r="AC8"/>
      <c r="AD8"/>
      <c r="AE8"/>
      <c r="AF8"/>
      <c r="AG8"/>
    </row>
    <row r="9" spans="1:33" s="6" customFormat="1" x14ac:dyDescent="0.25">
      <c r="A9" s="186" t="s">
        <v>12</v>
      </c>
      <c r="B9" s="187">
        <f>(1500+1600+2000+155+900+500+1250+900+1042+1181+850)*25</f>
        <v>296950</v>
      </c>
      <c r="C9" s="187">
        <f>(144+192)*30</f>
        <v>10080</v>
      </c>
      <c r="D9" s="187">
        <v>30</v>
      </c>
      <c r="E9" s="187">
        <f>(484+230)*30</f>
        <v>21420</v>
      </c>
      <c r="F9" s="188">
        <f>(88+165)*30</f>
        <v>7590</v>
      </c>
      <c r="G9" s="293">
        <f>C9+D9+E9+F9</f>
        <v>39120</v>
      </c>
      <c r="H9" s="187">
        <f>(2360+5000)*100</f>
        <v>736000</v>
      </c>
      <c r="I9" s="2"/>
      <c r="J9" s="200" t="s">
        <v>12</v>
      </c>
      <c r="K9" s="201">
        <f>'NDoH Outstanding Orders'!E332</f>
        <v>483825</v>
      </c>
      <c r="L9" s="201">
        <f>'NDoH Outstanding Orders'!F332</f>
        <v>105180</v>
      </c>
      <c r="M9" s="201">
        <f>'NDoH Outstanding Orders'!G332</f>
        <v>90000</v>
      </c>
      <c r="N9" s="201">
        <f>'NDoH Outstanding Orders'!H332</f>
        <v>82800</v>
      </c>
      <c r="O9" s="201">
        <f>'NDoH Outstanding Orders'!I332</f>
        <v>68520</v>
      </c>
      <c r="P9" s="196">
        <f t="shared" si="0"/>
        <v>346500</v>
      </c>
      <c r="Q9" s="201">
        <f>'NDoH Outstanding Orders'!K332</f>
        <v>600000</v>
      </c>
      <c r="S9" s="13" t="s">
        <v>12</v>
      </c>
      <c r="T9" s="14">
        <f>B9+K9</f>
        <v>780775</v>
      </c>
      <c r="U9" s="14">
        <f t="shared" si="1"/>
        <v>115260</v>
      </c>
      <c r="V9" s="14">
        <f t="shared" si="1"/>
        <v>90030</v>
      </c>
      <c r="W9" s="14">
        <f t="shared" si="1"/>
        <v>104220</v>
      </c>
      <c r="X9" s="14">
        <f t="shared" si="1"/>
        <v>76110</v>
      </c>
      <c r="Y9" s="14">
        <f t="shared" si="1"/>
        <v>385620</v>
      </c>
      <c r="Z9" s="14">
        <f t="shared" si="1"/>
        <v>1336000</v>
      </c>
      <c r="AA9" s="16">
        <f t="shared" si="2"/>
        <v>912420</v>
      </c>
    </row>
    <row r="10" spans="1:33" s="122" customFormat="1" x14ac:dyDescent="0.25">
      <c r="A10" s="147" t="s">
        <v>13</v>
      </c>
      <c r="B10" s="148">
        <f t="shared" ref="B10:E10" si="3">SUM(B5:B9)</f>
        <v>919750</v>
      </c>
      <c r="C10" s="148">
        <f t="shared" si="3"/>
        <v>128370</v>
      </c>
      <c r="D10" s="148">
        <f t="shared" si="3"/>
        <v>22110</v>
      </c>
      <c r="E10" s="148">
        <f t="shared" si="3"/>
        <v>43140</v>
      </c>
      <c r="F10" s="148">
        <f>SUM(F5:F9)</f>
        <v>17640</v>
      </c>
      <c r="G10" s="294">
        <f>SUM(G5:G9)</f>
        <v>211260</v>
      </c>
      <c r="H10" s="148">
        <f>SUM(H5:H9)</f>
        <v>2636500</v>
      </c>
      <c r="I10" s="2"/>
      <c r="J10" s="147" t="s">
        <v>13</v>
      </c>
      <c r="K10" s="148">
        <f>SUM(K5:K9)</f>
        <v>1713150</v>
      </c>
      <c r="L10" s="148">
        <f>SUM(L5:L9)</f>
        <v>709380</v>
      </c>
      <c r="M10" s="148">
        <f>SUM(M5:M9)</f>
        <v>544740</v>
      </c>
      <c r="N10" s="148">
        <f>SUM(N5:N9)</f>
        <v>374160</v>
      </c>
      <c r="O10" s="148">
        <f>SUM(O5:O9)</f>
        <v>329910</v>
      </c>
      <c r="P10" s="314">
        <f>L10+M10+N10+O10</f>
        <v>1958190</v>
      </c>
      <c r="Q10" s="148">
        <f>SUM(Q5:Q9)</f>
        <v>2700400</v>
      </c>
      <c r="S10" s="147" t="s">
        <v>13</v>
      </c>
      <c r="T10" s="148">
        <f t="shared" si="1"/>
        <v>2632900</v>
      </c>
      <c r="U10" s="148">
        <f t="shared" si="1"/>
        <v>837750</v>
      </c>
      <c r="V10" s="148">
        <f t="shared" si="1"/>
        <v>566850</v>
      </c>
      <c r="W10" s="148">
        <f t="shared" si="1"/>
        <v>417300</v>
      </c>
      <c r="X10" s="148">
        <f t="shared" si="1"/>
        <v>347550</v>
      </c>
      <c r="Y10" s="148">
        <f t="shared" si="1"/>
        <v>2169450</v>
      </c>
      <c r="Z10" s="148">
        <f t="shared" si="1"/>
        <v>5336900</v>
      </c>
      <c r="AA10" s="148">
        <f t="shared" si="2"/>
        <v>4613550</v>
      </c>
      <c r="AC10" s="6"/>
    </row>
    <row r="11" spans="1:33" s="122" customFormat="1" x14ac:dyDescent="0.25">
      <c r="A11" s="147" t="s">
        <v>284</v>
      </c>
      <c r="B11" s="180">
        <v>7000</v>
      </c>
      <c r="C11" s="181">
        <v>10140</v>
      </c>
      <c r="D11" s="181">
        <v>180270</v>
      </c>
      <c r="E11" s="181">
        <v>0</v>
      </c>
      <c r="F11" s="181">
        <v>145890</v>
      </c>
      <c r="G11" s="294">
        <f>C11+D11+E11+F11</f>
        <v>336300</v>
      </c>
      <c r="H11" s="148">
        <v>0</v>
      </c>
      <c r="I11" s="1112"/>
      <c r="J11" s="147" t="s">
        <v>284</v>
      </c>
      <c r="K11" s="148">
        <f>'RAM-GF_PROC.-2021 REQ.ACT-RDT'!D34</f>
        <v>2000000</v>
      </c>
      <c r="L11" s="148">
        <f>'RAM-GF_PROC.-2021 REQ.ACT-RDT'!E33</f>
        <v>294750</v>
      </c>
      <c r="M11" s="148">
        <f>'RAM-GF_PROC.-2021 REQ.ACT-RDT'!F33</f>
        <v>409740</v>
      </c>
      <c r="N11" s="148">
        <f>'RAM-GF_PROC.-2021 REQ.ACT-RDT'!G33</f>
        <v>233880</v>
      </c>
      <c r="O11" s="148">
        <f>'RAM-GF_PROC.-2021 REQ.ACT-RDT'!H33</f>
        <v>601410</v>
      </c>
      <c r="P11" s="314">
        <f>L11+M11+N11+O11</f>
        <v>1539780</v>
      </c>
      <c r="Q11" s="148">
        <f>'RAM-GF_PROC.-2021 REQ.ACT-RDT'!J21</f>
        <v>0</v>
      </c>
      <c r="S11" s="147" t="s">
        <v>14</v>
      </c>
      <c r="T11" s="148">
        <f>B11+K11</f>
        <v>2007000</v>
      </c>
      <c r="U11" s="148">
        <f t="shared" si="1"/>
        <v>304890</v>
      </c>
      <c r="V11" s="148">
        <f t="shared" si="1"/>
        <v>590010</v>
      </c>
      <c r="W11" s="148">
        <f t="shared" si="1"/>
        <v>233880</v>
      </c>
      <c r="X11" s="148">
        <f t="shared" si="1"/>
        <v>747300</v>
      </c>
      <c r="Y11" s="148">
        <f t="shared" si="1"/>
        <v>1876080</v>
      </c>
      <c r="Z11" s="148">
        <f>H11+Q11</f>
        <v>0</v>
      </c>
      <c r="AA11" s="148">
        <f t="shared" si="2"/>
        <v>5175750</v>
      </c>
      <c r="AC11" s="6"/>
    </row>
    <row r="12" spans="1:33" s="17" customFormat="1" x14ac:dyDescent="0.25">
      <c r="A12" s="189" t="s">
        <v>15</v>
      </c>
      <c r="B12" s="190">
        <f>B11+B10</f>
        <v>926750</v>
      </c>
      <c r="C12" s="190">
        <v>10140</v>
      </c>
      <c r="D12" s="190">
        <f t="shared" ref="D12" si="4">D11+D10</f>
        <v>202380</v>
      </c>
      <c r="E12" s="190">
        <f>E11+E10</f>
        <v>43140</v>
      </c>
      <c r="F12" s="190">
        <f>F11+F10</f>
        <v>163530</v>
      </c>
      <c r="G12" s="190">
        <f>G11+G10</f>
        <v>547560</v>
      </c>
      <c r="H12" s="190">
        <f>(H11+H10)</f>
        <v>2636500</v>
      </c>
      <c r="I12" s="2"/>
      <c r="J12" s="195" t="s">
        <v>15</v>
      </c>
      <c r="K12" s="196">
        <f>K11+K10</f>
        <v>3713150</v>
      </c>
      <c r="L12" s="196">
        <f>L11+L10</f>
        <v>1004130</v>
      </c>
      <c r="M12" s="196">
        <f>M11+M10</f>
        <v>954480</v>
      </c>
      <c r="N12" s="196">
        <f>N11+N10</f>
        <v>608040</v>
      </c>
      <c r="O12" s="196">
        <f>O11+O10</f>
        <v>931320</v>
      </c>
      <c r="P12" s="196">
        <f>L12+M12+N12+O12</f>
        <v>3497970</v>
      </c>
      <c r="Q12" s="196">
        <f>Q11+Q10</f>
        <v>2700400</v>
      </c>
      <c r="S12" s="146" t="s">
        <v>15</v>
      </c>
      <c r="T12" s="111">
        <f>B12+K12</f>
        <v>4639900</v>
      </c>
      <c r="U12" s="111">
        <f t="shared" si="1"/>
        <v>1014270</v>
      </c>
      <c r="V12" s="111">
        <f t="shared" si="1"/>
        <v>1156860</v>
      </c>
      <c r="W12" s="111">
        <f t="shared" si="1"/>
        <v>651180</v>
      </c>
      <c r="X12" s="111">
        <f t="shared" si="1"/>
        <v>1094850</v>
      </c>
      <c r="Y12" s="111">
        <f t="shared" si="1"/>
        <v>4045530</v>
      </c>
      <c r="Z12" s="111">
        <f t="shared" si="1"/>
        <v>5336900</v>
      </c>
      <c r="AA12" s="112">
        <f t="shared" si="2"/>
        <v>9660930</v>
      </c>
      <c r="AC12" s="6"/>
    </row>
    <row r="13" spans="1:33" s="17" customFormat="1" x14ac:dyDescent="0.25">
      <c r="J13" s="108"/>
      <c r="K13" s="108"/>
      <c r="L13" s="108"/>
      <c r="M13" s="108"/>
      <c r="N13" s="108"/>
      <c r="O13" s="108"/>
      <c r="P13" s="108"/>
      <c r="Q13" s="108">
        <f>8000*100</f>
        <v>800000</v>
      </c>
      <c r="S13" s="108"/>
      <c r="T13" s="342">
        <f>T12/T17</f>
        <v>13.919700000000001</v>
      </c>
      <c r="U13" s="342"/>
      <c r="V13" s="342"/>
      <c r="W13" s="342"/>
      <c r="X13" s="342"/>
      <c r="Y13" s="342"/>
      <c r="Z13" s="342">
        <f>Z12/Z17</f>
        <v>3.8348982035928141</v>
      </c>
      <c r="AA13" s="342">
        <f>AA12/AA17</f>
        <v>17.0487</v>
      </c>
      <c r="AC13" s="6"/>
    </row>
    <row r="14" spans="1:33" s="17" customFormat="1" x14ac:dyDescent="0.25">
      <c r="J14" s="1114"/>
      <c r="K14" s="1113"/>
      <c r="L14" s="1113"/>
      <c r="M14" s="1113"/>
      <c r="N14" s="1113"/>
      <c r="O14" s="1113"/>
      <c r="P14" s="1113"/>
      <c r="Q14" s="1113">
        <f>Q12-Q13</f>
        <v>1900400</v>
      </c>
      <c r="R14" s="1203">
        <f>Q14-1500400</f>
        <v>400000</v>
      </c>
      <c r="S14" s="1114"/>
      <c r="T14" s="1115"/>
      <c r="U14" s="1115"/>
      <c r="V14" s="1115"/>
      <c r="W14" s="1115"/>
      <c r="X14" s="1115"/>
      <c r="Y14" s="1115"/>
      <c r="Z14" s="1115"/>
      <c r="AA14" s="1115"/>
      <c r="AC14" s="6"/>
    </row>
    <row r="15" spans="1:33" s="21" customFormat="1" x14ac:dyDescent="0.25">
      <c r="B15" s="109"/>
      <c r="C15" s="483" t="s">
        <v>32</v>
      </c>
      <c r="D15" s="483"/>
      <c r="E15" s="483"/>
      <c r="F15" s="109"/>
      <c r="G15" s="109"/>
      <c r="H15" s="109"/>
      <c r="I15" s="2"/>
      <c r="J15" s="109"/>
      <c r="K15" s="109"/>
      <c r="L15" s="484" t="s">
        <v>61</v>
      </c>
      <c r="M15" s="484"/>
      <c r="N15" s="484"/>
      <c r="O15" s="110"/>
      <c r="P15" s="110"/>
      <c r="Q15" s="109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6.25" x14ac:dyDescent="0.25">
      <c r="A16" s="191"/>
      <c r="B16" s="192" t="s">
        <v>30</v>
      </c>
      <c r="C16" s="1252" t="s">
        <v>99</v>
      </c>
      <c r="D16" s="1253"/>
      <c r="E16" s="1253"/>
      <c r="F16" s="1253"/>
      <c r="G16" s="1254"/>
      <c r="H16" s="192" t="s">
        <v>33</v>
      </c>
      <c r="I16" s="2"/>
      <c r="J16" s="480"/>
      <c r="K16" s="194" t="s">
        <v>30</v>
      </c>
      <c r="L16" s="1243" t="s">
        <v>99</v>
      </c>
      <c r="M16" s="1244"/>
      <c r="N16" s="1244"/>
      <c r="O16" s="1244"/>
      <c r="P16" s="1245"/>
      <c r="Q16" s="194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263</v>
      </c>
    </row>
    <row r="17" spans="1:34" s="21" customFormat="1" ht="45" x14ac:dyDescent="0.25">
      <c r="A17" s="477" t="s">
        <v>88</v>
      </c>
      <c r="B17" s="472">
        <f>B12</f>
        <v>926750</v>
      </c>
      <c r="C17" s="1255">
        <f>(C12)+(D12*2)+(E12*3)+(F12*4)</f>
        <v>1198440</v>
      </c>
      <c r="D17" s="1256"/>
      <c r="E17" s="1256"/>
      <c r="F17" s="1256"/>
      <c r="G17" s="1257"/>
      <c r="H17" s="473">
        <f>H12</f>
        <v>2636500</v>
      </c>
      <c r="I17" s="2"/>
      <c r="J17" s="481" t="s">
        <v>88</v>
      </c>
      <c r="K17" s="474">
        <f>K12</f>
        <v>3713150</v>
      </c>
      <c r="L17" s="1246">
        <f>(L12)+(M12*2)+(N12*3)+(O12*4)</f>
        <v>8462490</v>
      </c>
      <c r="M17" s="1247"/>
      <c r="N17" s="1247"/>
      <c r="O17" s="1247"/>
      <c r="P17" s="1248"/>
      <c r="Q17" s="476">
        <f>Q12</f>
        <v>2700400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948"/>
    </row>
    <row r="18" spans="1:34" s="24" customFormat="1" ht="37.5" customHeight="1" x14ac:dyDescent="0.25">
      <c r="A18" s="477" t="s">
        <v>89</v>
      </c>
      <c r="B18" s="1021">
        <f>B17/T17</f>
        <v>2.7802500000000001</v>
      </c>
      <c r="C18" s="1258">
        <f>C17/AA17</f>
        <v>2.1148941176470588</v>
      </c>
      <c r="D18" s="1259"/>
      <c r="E18" s="1259"/>
      <c r="F18" s="1259"/>
      <c r="G18" s="1260"/>
      <c r="H18" s="1021">
        <f>H17/Z17</f>
        <v>1.8944910179640717</v>
      </c>
      <c r="I18" s="1022"/>
      <c r="J18" s="1023" t="s">
        <v>89</v>
      </c>
      <c r="K18" s="1024">
        <f>K17/T17</f>
        <v>11.13945</v>
      </c>
      <c r="L18" s="1249">
        <f>L17/AA17</f>
        <v>14.933805882352942</v>
      </c>
      <c r="M18" s="1250"/>
      <c r="N18" s="1250"/>
      <c r="O18" s="1250"/>
      <c r="P18" s="1251"/>
      <c r="Q18" s="1024">
        <f>Q17/Z17</f>
        <v>1.9404071856287424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478" t="s">
        <v>102</v>
      </c>
      <c r="B19" s="1025">
        <f>B10/T17</f>
        <v>2.7592500000000002</v>
      </c>
      <c r="C19" s="1241">
        <f>(C10+(D10*2)+(E10*3)+(F10*4))/AA17</f>
        <v>0.65747647058823533</v>
      </c>
      <c r="D19" s="1241"/>
      <c r="E19" s="1241"/>
      <c r="F19" s="1241"/>
      <c r="G19" s="1241"/>
      <c r="H19" s="1025">
        <f>H10/Z17</f>
        <v>1.8944910179640717</v>
      </c>
      <c r="I19" s="1026"/>
      <c r="J19" s="1027" t="s">
        <v>102</v>
      </c>
      <c r="K19" s="1004">
        <f>K10/T17</f>
        <v>5.1394500000000001</v>
      </c>
      <c r="L19" s="1240">
        <f>(L10+(M10*2)+(N10*3)+(O10*4))/AA17</f>
        <v>7.4840823529411766</v>
      </c>
      <c r="M19" s="1240"/>
      <c r="N19" s="1240"/>
      <c r="O19" s="1240"/>
      <c r="P19" s="1240"/>
      <c r="Q19" s="1004">
        <f>Q10/Z17</f>
        <v>1.9404071856287424</v>
      </c>
    </row>
    <row r="20" spans="1:34" ht="18.75" x14ac:dyDescent="0.3">
      <c r="A20" s="479" t="s">
        <v>103</v>
      </c>
      <c r="B20" s="1025">
        <f>B11/T17</f>
        <v>2.1000000000000001E-2</v>
      </c>
      <c r="C20" s="1242">
        <f>(C11+(D11*2)+(E11*3)+(F11*4))/AA17</f>
        <v>1.6839529411764707</v>
      </c>
      <c r="D20" s="1242"/>
      <c r="E20" s="1242"/>
      <c r="F20" s="1242"/>
      <c r="G20" s="1242"/>
      <c r="H20" s="1025">
        <f>H11/Z17</f>
        <v>0</v>
      </c>
      <c r="I20" s="1026"/>
      <c r="J20" s="1027" t="s">
        <v>103</v>
      </c>
      <c r="K20" s="1004">
        <f>K11/T17</f>
        <v>6</v>
      </c>
      <c r="L20" s="1240">
        <f>(L11+(M11*2)+(N11*3)+(O11*4))/AA17</f>
        <v>7.4497235294117656</v>
      </c>
      <c r="M20" s="1240"/>
      <c r="N20" s="1240"/>
      <c r="O20" s="1240"/>
      <c r="P20" s="1240"/>
      <c r="Q20" s="1178">
        <v>0</v>
      </c>
      <c r="AC20" s="18">
        <v>19000000</v>
      </c>
    </row>
    <row r="21" spans="1:34" x14ac:dyDescent="0.25">
      <c r="B21" s="297"/>
      <c r="C21"/>
      <c r="H21" s="193"/>
      <c r="K21" s="193"/>
      <c r="L21" s="1265"/>
      <c r="M21" s="1265"/>
      <c r="N21" s="1265"/>
      <c r="O21" s="1265"/>
      <c r="P21" s="1265"/>
      <c r="Q21" s="193"/>
      <c r="AC21" s="949">
        <f>AC20/Z17</f>
        <v>13.652694610778441</v>
      </c>
    </row>
    <row r="22" spans="1:34" ht="15.75" x14ac:dyDescent="0.25">
      <c r="A22" s="3" t="s">
        <v>16</v>
      </c>
      <c r="C22" s="1">
        <f>C12/$G12*100</f>
        <v>1.8518518518518516</v>
      </c>
      <c r="D22" s="1">
        <f>D12/$G12*100</f>
        <v>36.960333114179264</v>
      </c>
      <c r="E22" s="1">
        <f>E12/$G12*100</f>
        <v>7.8785886478194165</v>
      </c>
      <c r="F22" s="1">
        <f>F12/$G12*100</f>
        <v>29.865220249835634</v>
      </c>
      <c r="H22" s="937"/>
      <c r="S22" t="s">
        <v>30</v>
      </c>
      <c r="T22" s="18">
        <f>T17*3</f>
        <v>1000000</v>
      </c>
      <c r="W22" s="527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7"/>
      <c r="J23" s="938"/>
      <c r="K23" s="938"/>
      <c r="L23" s="938"/>
      <c r="M23" s="938"/>
      <c r="N23" s="938"/>
      <c r="O23" s="938"/>
      <c r="P23" s="938"/>
      <c r="Q23" s="938"/>
      <c r="R23" s="938"/>
      <c r="S23" t="s">
        <v>33</v>
      </c>
      <c r="T23" s="18">
        <f>AA17*3</f>
        <v>1700000</v>
      </c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AH25" s="1"/>
    </row>
    <row r="26" spans="1:34" ht="19.5" customHeight="1" x14ac:dyDescent="0.35">
      <c r="A26" s="1266" t="s">
        <v>98</v>
      </c>
      <c r="B26" s="1267"/>
      <c r="C26" s="1267"/>
      <c r="D26" s="1267"/>
      <c r="E26" s="1267"/>
      <c r="F26" s="1267"/>
      <c r="G26" s="1267"/>
      <c r="H26" s="1267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H26" s="1"/>
    </row>
    <row r="27" spans="1:34" s="8" customFormat="1" ht="21" customHeight="1" x14ac:dyDescent="0.3">
      <c r="A27" s="1239" t="s">
        <v>695</v>
      </c>
      <c r="B27" s="1239"/>
      <c r="C27" s="1239"/>
      <c r="D27" s="1239"/>
      <c r="E27" s="1239"/>
      <c r="F27" s="1239"/>
      <c r="G27" s="1239"/>
      <c r="H27" s="1239"/>
      <c r="J27" s="482" t="s">
        <v>0</v>
      </c>
      <c r="Q27" s="7"/>
      <c r="S27" s="8" t="s">
        <v>105</v>
      </c>
    </row>
    <row r="28" spans="1:34" ht="30" x14ac:dyDescent="0.25">
      <c r="A28" s="183" t="s">
        <v>1</v>
      </c>
      <c r="B28" s="184" t="s">
        <v>2</v>
      </c>
      <c r="C28" s="184" t="s">
        <v>3</v>
      </c>
      <c r="D28" s="184" t="s">
        <v>4</v>
      </c>
      <c r="E28" s="184" t="s">
        <v>5</v>
      </c>
      <c r="F28" s="184" t="s">
        <v>6</v>
      </c>
      <c r="G28" s="292" t="s">
        <v>7</v>
      </c>
      <c r="H28" s="185" t="s">
        <v>19</v>
      </c>
      <c r="I28" s="2"/>
      <c r="J28" s="197" t="s">
        <v>1</v>
      </c>
      <c r="K28" s="198" t="s">
        <v>2</v>
      </c>
      <c r="L28" s="198" t="s">
        <v>3</v>
      </c>
      <c r="M28" s="198" t="s">
        <v>4</v>
      </c>
      <c r="N28" s="198" t="s">
        <v>5</v>
      </c>
      <c r="O28" s="198" t="s">
        <v>6</v>
      </c>
      <c r="P28" s="313" t="s">
        <v>7</v>
      </c>
      <c r="Q28" s="199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6" t="s">
        <v>8</v>
      </c>
      <c r="B29" s="187">
        <v>167050</v>
      </c>
      <c r="C29" s="187">
        <v>143490</v>
      </c>
      <c r="D29" s="187">
        <v>16020</v>
      </c>
      <c r="E29" s="187">
        <v>3600</v>
      </c>
      <c r="F29" s="187">
        <v>3600</v>
      </c>
      <c r="G29" s="293">
        <f>C29+D29+E29+F29</f>
        <v>166710</v>
      </c>
      <c r="H29" s="187">
        <v>420000</v>
      </c>
      <c r="J29" s="200" t="s">
        <v>8</v>
      </c>
      <c r="K29" s="201">
        <v>266825</v>
      </c>
      <c r="L29" s="201">
        <v>176400</v>
      </c>
      <c r="M29" s="201">
        <v>116400</v>
      </c>
      <c r="N29" s="201">
        <v>118560</v>
      </c>
      <c r="O29" s="201">
        <v>118560</v>
      </c>
      <c r="P29" s="196">
        <f>L29+M29+N29+O29</f>
        <v>529920</v>
      </c>
      <c r="Q29" s="201">
        <v>700000</v>
      </c>
      <c r="S29" s="13" t="s">
        <v>8</v>
      </c>
      <c r="T29" s="14">
        <f>B29+K29</f>
        <v>433875</v>
      </c>
      <c r="U29" s="14">
        <f t="shared" ref="U29" si="5">C29+L29</f>
        <v>319890</v>
      </c>
      <c r="V29" s="14">
        <f t="shared" ref="V29:V30" si="6">D29+M29</f>
        <v>132420</v>
      </c>
      <c r="W29" s="14">
        <f t="shared" ref="W29:W30" si="7">E29+N29</f>
        <v>122160</v>
      </c>
      <c r="X29" s="14">
        <f t="shared" ref="X29:X30" si="8">F29+O29</f>
        <v>122160</v>
      </c>
      <c r="Y29" s="14">
        <f t="shared" ref="Y29:Y30" si="9">G29+P29</f>
        <v>696630</v>
      </c>
      <c r="Z29" s="14">
        <f>H29+Q29</f>
        <v>1120000</v>
      </c>
      <c r="AA29" s="16">
        <f>U29+(V29*2)+(W29*3)+(X29*4)</f>
        <v>1439850</v>
      </c>
    </row>
    <row r="30" spans="1:34" s="6" customFormat="1" ht="15" customHeight="1" x14ac:dyDescent="0.25">
      <c r="A30" s="186" t="s">
        <v>9</v>
      </c>
      <c r="B30" s="187">
        <f>6520*25</f>
        <v>163000</v>
      </c>
      <c r="C30" s="187">
        <f>164*30</f>
        <v>4920</v>
      </c>
      <c r="D30" s="187">
        <f>409*30</f>
        <v>12270</v>
      </c>
      <c r="E30" s="187">
        <f>286*30</f>
        <v>8580</v>
      </c>
      <c r="F30" s="187">
        <f>222*30</f>
        <v>6660</v>
      </c>
      <c r="G30" s="293">
        <f>C30+D30+E30+F30</f>
        <v>32430</v>
      </c>
      <c r="H30" s="187">
        <f>4500*100</f>
        <v>450000</v>
      </c>
      <c r="J30" s="200" t="s">
        <v>9</v>
      </c>
      <c r="K30" s="201">
        <v>325000</v>
      </c>
      <c r="L30" s="201">
        <v>90000</v>
      </c>
      <c r="M30" s="201">
        <v>69540</v>
      </c>
      <c r="N30" s="201">
        <v>60000</v>
      </c>
      <c r="O30" s="201">
        <v>60000</v>
      </c>
      <c r="P30" s="196">
        <f t="shared" ref="P30:P33" si="10">L30+M30+N30+O30</f>
        <v>279540</v>
      </c>
      <c r="Q30" s="201">
        <v>600000</v>
      </c>
      <c r="S30" s="13" t="s">
        <v>9</v>
      </c>
      <c r="T30" s="14">
        <f t="shared" ref="T30" si="11">B30+K30</f>
        <v>488000</v>
      </c>
      <c r="U30" s="14">
        <f>C30+L30</f>
        <v>94920</v>
      </c>
      <c r="V30" s="14">
        <f t="shared" si="6"/>
        <v>81810</v>
      </c>
      <c r="W30" s="14">
        <f t="shared" si="7"/>
        <v>68580</v>
      </c>
      <c r="X30" s="14">
        <f t="shared" si="8"/>
        <v>66660</v>
      </c>
      <c r="Y30" s="14">
        <f t="shared" si="9"/>
        <v>311970</v>
      </c>
      <c r="Z30" s="14">
        <f t="shared" ref="Z30" si="12">H30+Q30</f>
        <v>1050000</v>
      </c>
      <c r="AA30" s="16">
        <f t="shared" ref="AA30" si="13">U30+(V30*2)+(W30*3)+(X30*4)</f>
        <v>730920</v>
      </c>
    </row>
    <row r="31" spans="1:34" s="6" customFormat="1" ht="15" customHeight="1" x14ac:dyDescent="0.25">
      <c r="A31" s="186" t="s">
        <v>11</v>
      </c>
      <c r="B31" s="187">
        <f>7421*25</f>
        <v>185525</v>
      </c>
      <c r="C31" s="187">
        <f>392*30</f>
        <v>11760</v>
      </c>
      <c r="D31" s="187">
        <f>424*30</f>
        <v>12720</v>
      </c>
      <c r="E31" s="187">
        <f>386*30</f>
        <v>11580</v>
      </c>
      <c r="F31" s="187">
        <f>82*30</f>
        <v>2460</v>
      </c>
      <c r="G31" s="293">
        <f>C31+D31+E31+F31</f>
        <v>38520</v>
      </c>
      <c r="H31" s="187">
        <f>3700*100</f>
        <v>370000</v>
      </c>
      <c r="J31" s="200" t="s">
        <v>11</v>
      </c>
      <c r="K31" s="201">
        <v>412500</v>
      </c>
      <c r="L31" s="201">
        <v>60000</v>
      </c>
      <c r="M31" s="201">
        <v>60000</v>
      </c>
      <c r="N31" s="201">
        <v>30000</v>
      </c>
      <c r="O31" s="201">
        <v>30030</v>
      </c>
      <c r="P31" s="196">
        <f t="shared" si="10"/>
        <v>180030</v>
      </c>
      <c r="Q31" s="201">
        <v>200400</v>
      </c>
      <c r="S31" s="13" t="s">
        <v>11</v>
      </c>
      <c r="T31" s="14">
        <f>B31+K31</f>
        <v>598025</v>
      </c>
      <c r="U31" s="14">
        <f>C31+L31</f>
        <v>71760</v>
      </c>
      <c r="V31" s="14">
        <f>D31+M31</f>
        <v>72720</v>
      </c>
      <c r="W31" s="14">
        <f>E31+N31</f>
        <v>41580</v>
      </c>
      <c r="X31" s="14">
        <f>F31+O31</f>
        <v>32490</v>
      </c>
      <c r="Y31" s="14">
        <f>G31+P31</f>
        <v>218550</v>
      </c>
      <c r="Z31" s="14">
        <f>H31+Q31</f>
        <v>570400</v>
      </c>
      <c r="AA31" s="16">
        <f>U31+(V31*2)+(W31*3)+(X31*4)</f>
        <v>471900</v>
      </c>
    </row>
    <row r="32" spans="1:34" s="6" customFormat="1" ht="15" customHeight="1" x14ac:dyDescent="0.25">
      <c r="A32" s="186" t="s">
        <v>10</v>
      </c>
      <c r="B32" s="187">
        <f>(7455+200+1000+24)*25</f>
        <v>216975</v>
      </c>
      <c r="C32" s="187">
        <f>152*30</f>
        <v>4560</v>
      </c>
      <c r="D32" s="187">
        <f>35*30</f>
        <v>1050</v>
      </c>
      <c r="E32" s="187">
        <f>303*30</f>
        <v>9090</v>
      </c>
      <c r="F32" s="187">
        <f>340*30</f>
        <v>10200</v>
      </c>
      <c r="G32" s="293">
        <f>C32+D32+E32+F32</f>
        <v>24900</v>
      </c>
      <c r="H32" s="187">
        <f>(6068+500+5000)*100</f>
        <v>1156800</v>
      </c>
      <c r="J32" s="200" t="s">
        <v>10</v>
      </c>
      <c r="K32" s="201">
        <v>437500</v>
      </c>
      <c r="L32" s="201">
        <v>277800</v>
      </c>
      <c r="M32" s="201">
        <v>208800</v>
      </c>
      <c r="N32" s="201">
        <v>82800</v>
      </c>
      <c r="O32" s="201">
        <v>82800</v>
      </c>
      <c r="P32" s="196">
        <f>L32+M32+N32+O32</f>
        <v>652200</v>
      </c>
      <c r="Q32" s="201">
        <v>550000</v>
      </c>
      <c r="S32" s="13" t="s">
        <v>10</v>
      </c>
      <c r="T32" s="14">
        <f t="shared" ref="T32" si="14">B32+K32</f>
        <v>654475</v>
      </c>
      <c r="U32" s="14">
        <f t="shared" ref="U32:U36" si="15">C32+L32</f>
        <v>282360</v>
      </c>
      <c r="V32" s="14">
        <f t="shared" ref="V32:V36" si="16">D32+M32</f>
        <v>209850</v>
      </c>
      <c r="W32" s="14">
        <f t="shared" ref="W32:W36" si="17">E32+N32</f>
        <v>91890</v>
      </c>
      <c r="X32" s="14">
        <f t="shared" ref="X32:X36" si="18">F32+O32</f>
        <v>93000</v>
      </c>
      <c r="Y32" s="14">
        <f t="shared" ref="Y32:Y36" si="19">G32+P32</f>
        <v>677100</v>
      </c>
      <c r="Z32" s="14">
        <v>80000</v>
      </c>
      <c r="AA32" s="16">
        <f t="shared" ref="AA32:AA36" si="20">U32+(V32*2)+(W32*3)+(X32*4)</f>
        <v>1349730</v>
      </c>
    </row>
    <row r="33" spans="1:29" s="6" customFormat="1" ht="15" customHeight="1" x14ac:dyDescent="0.25">
      <c r="A33" s="186" t="s">
        <v>12</v>
      </c>
      <c r="B33" s="187">
        <v>230975</v>
      </c>
      <c r="C33" s="187">
        <v>6900</v>
      </c>
      <c r="D33" s="187">
        <v>3630</v>
      </c>
      <c r="E33" s="187">
        <v>22350</v>
      </c>
      <c r="F33" s="188">
        <v>15240</v>
      </c>
      <c r="G33" s="293">
        <f>C33+D33+E33+F33</f>
        <v>48120</v>
      </c>
      <c r="H33" s="187">
        <v>427800</v>
      </c>
      <c r="J33" s="200" t="s">
        <v>12</v>
      </c>
      <c r="K33" s="201">
        <v>483825</v>
      </c>
      <c r="L33" s="201">
        <v>105180</v>
      </c>
      <c r="M33" s="201">
        <v>90000</v>
      </c>
      <c r="N33" s="201">
        <v>82800</v>
      </c>
      <c r="O33" s="201">
        <v>68520</v>
      </c>
      <c r="P33" s="196">
        <f t="shared" si="10"/>
        <v>346500</v>
      </c>
      <c r="Q33" s="201">
        <v>600000</v>
      </c>
      <c r="S33" s="13" t="s">
        <v>12</v>
      </c>
      <c r="T33" s="14">
        <f>B33+K33</f>
        <v>714800</v>
      </c>
      <c r="U33" s="14">
        <f t="shared" si="15"/>
        <v>112080</v>
      </c>
      <c r="V33" s="14">
        <f t="shared" si="16"/>
        <v>93630</v>
      </c>
      <c r="W33" s="14">
        <f t="shared" si="17"/>
        <v>105150</v>
      </c>
      <c r="X33" s="14">
        <f t="shared" si="18"/>
        <v>83760</v>
      </c>
      <c r="Y33" s="14">
        <f t="shared" si="19"/>
        <v>394620</v>
      </c>
      <c r="Z33" s="14">
        <f t="shared" ref="Z33:Z34" si="21">H33+Q33</f>
        <v>1027800</v>
      </c>
      <c r="AA33" s="16">
        <f t="shared" si="20"/>
        <v>949830</v>
      </c>
    </row>
    <row r="34" spans="1:29" s="122" customFormat="1" ht="15" customHeight="1" x14ac:dyDescent="0.25">
      <c r="A34" s="147" t="s">
        <v>13</v>
      </c>
      <c r="B34" s="148">
        <f t="shared" ref="B34:E34" si="22">SUM(B29:B33)</f>
        <v>963525</v>
      </c>
      <c r="C34" s="148">
        <f t="shared" si="22"/>
        <v>171630</v>
      </c>
      <c r="D34" s="148">
        <f t="shared" si="22"/>
        <v>45690</v>
      </c>
      <c r="E34" s="148">
        <f t="shared" si="22"/>
        <v>55200</v>
      </c>
      <c r="F34" s="148">
        <f>SUM(F29:F33)</f>
        <v>38160</v>
      </c>
      <c r="G34" s="294">
        <f>SUM(G29:G33)</f>
        <v>310680</v>
      </c>
      <c r="H34" s="148">
        <f>SUM(H29:H33)</f>
        <v>2824600</v>
      </c>
      <c r="J34" s="147" t="s">
        <v>13</v>
      </c>
      <c r="K34" s="148">
        <f>SUM(K29:K33)</f>
        <v>1925650</v>
      </c>
      <c r="L34" s="148">
        <f t="shared" ref="L34:Q34" si="23">SUM(L29:L33)</f>
        <v>709380</v>
      </c>
      <c r="M34" s="148">
        <f t="shared" si="23"/>
        <v>544740</v>
      </c>
      <c r="N34" s="148">
        <f t="shared" si="23"/>
        <v>374160</v>
      </c>
      <c r="O34" s="148">
        <f t="shared" si="23"/>
        <v>359910</v>
      </c>
      <c r="P34" s="314">
        <f>L34+M34+N34+O34</f>
        <v>1988190</v>
      </c>
      <c r="Q34" s="148">
        <f t="shared" si="23"/>
        <v>2650400</v>
      </c>
      <c r="S34" s="147" t="s">
        <v>13</v>
      </c>
      <c r="T34" s="148">
        <f>B34+K34</f>
        <v>2889175</v>
      </c>
      <c r="U34" s="148">
        <f t="shared" si="15"/>
        <v>881010</v>
      </c>
      <c r="V34" s="148">
        <f t="shared" si="16"/>
        <v>590430</v>
      </c>
      <c r="W34" s="148">
        <f t="shared" si="17"/>
        <v>429360</v>
      </c>
      <c r="X34" s="148">
        <f t="shared" si="18"/>
        <v>398070</v>
      </c>
      <c r="Y34" s="148">
        <f t="shared" si="19"/>
        <v>2298870</v>
      </c>
      <c r="Z34" s="148">
        <f t="shared" si="21"/>
        <v>5475000</v>
      </c>
      <c r="AA34" s="148">
        <f t="shared" si="20"/>
        <v>4942230</v>
      </c>
    </row>
    <row r="35" spans="1:29" s="122" customFormat="1" x14ac:dyDescent="0.25">
      <c r="A35" s="147" t="s">
        <v>284</v>
      </c>
      <c r="B35" s="180">
        <v>20000</v>
      </c>
      <c r="C35" s="181">
        <v>19140</v>
      </c>
      <c r="D35" s="181">
        <v>216030</v>
      </c>
      <c r="E35" s="181">
        <v>0</v>
      </c>
      <c r="F35" s="181">
        <v>202410</v>
      </c>
      <c r="G35" s="294">
        <f>C35+D35+E35+F35</f>
        <v>437580</v>
      </c>
      <c r="H35" s="148">
        <v>0</v>
      </c>
      <c r="J35" s="147" t="s">
        <v>284</v>
      </c>
      <c r="K35" s="148">
        <v>2000000</v>
      </c>
      <c r="L35" s="148">
        <v>294750</v>
      </c>
      <c r="M35" s="148">
        <v>409740</v>
      </c>
      <c r="N35" s="148">
        <v>233880</v>
      </c>
      <c r="O35" s="148">
        <v>601410</v>
      </c>
      <c r="P35" s="314">
        <f>L35+M35+N35+O35</f>
        <v>1539780</v>
      </c>
      <c r="Q35" s="148">
        <v>0</v>
      </c>
      <c r="S35" s="147" t="s">
        <v>14</v>
      </c>
      <c r="T35" s="1184">
        <f>B35+K35</f>
        <v>2020000</v>
      </c>
      <c r="U35" s="148">
        <f t="shared" si="15"/>
        <v>313890</v>
      </c>
      <c r="V35" s="148">
        <f t="shared" si="16"/>
        <v>625770</v>
      </c>
      <c r="W35" s="148">
        <f t="shared" si="17"/>
        <v>233880</v>
      </c>
      <c r="X35" s="148">
        <f t="shared" si="18"/>
        <v>803820</v>
      </c>
      <c r="Y35" s="148">
        <f t="shared" si="19"/>
        <v>1977360</v>
      </c>
      <c r="Z35" s="148">
        <f>H35+Q35</f>
        <v>0</v>
      </c>
      <c r="AA35" s="148">
        <f t="shared" si="20"/>
        <v>5482350</v>
      </c>
    </row>
    <row r="36" spans="1:29" s="17" customFormat="1" x14ac:dyDescent="0.25">
      <c r="A36" s="189" t="s">
        <v>15</v>
      </c>
      <c r="B36" s="190">
        <f>B35+B34</f>
        <v>983525</v>
      </c>
      <c r="C36" s="190">
        <f t="shared" ref="C36:D36" si="24">C35+C34</f>
        <v>190770</v>
      </c>
      <c r="D36" s="190">
        <f t="shared" si="24"/>
        <v>261720</v>
      </c>
      <c r="E36" s="190">
        <f>E35+E34</f>
        <v>55200</v>
      </c>
      <c r="F36" s="190">
        <f>F35+F34</f>
        <v>240570</v>
      </c>
      <c r="G36" s="190">
        <f>G35+G34</f>
        <v>748260</v>
      </c>
      <c r="H36" s="190">
        <f>(H35+H34)</f>
        <v>2824600</v>
      </c>
      <c r="J36" s="195" t="s">
        <v>15</v>
      </c>
      <c r="K36" s="196">
        <f>K35+K34</f>
        <v>3925650</v>
      </c>
      <c r="L36" s="196">
        <f>L35+L34</f>
        <v>1004130</v>
      </c>
      <c r="M36" s="196">
        <f>M35+M34</f>
        <v>954480</v>
      </c>
      <c r="N36" s="196">
        <f>N35+N34</f>
        <v>608040</v>
      </c>
      <c r="O36" s="196">
        <f>O35+O34</f>
        <v>961320</v>
      </c>
      <c r="P36" s="196">
        <f>L36+M36+N36+O36</f>
        <v>3527970</v>
      </c>
      <c r="Q36" s="196">
        <f>Q35+Q34</f>
        <v>2650400</v>
      </c>
      <c r="S36" s="146" t="s">
        <v>15</v>
      </c>
      <c r="T36" s="111">
        <f>B36+K36</f>
        <v>4909175</v>
      </c>
      <c r="U36" s="111">
        <f t="shared" si="15"/>
        <v>1194900</v>
      </c>
      <c r="V36" s="111">
        <f t="shared" si="16"/>
        <v>1216200</v>
      </c>
      <c r="W36" s="111">
        <f t="shared" si="17"/>
        <v>663240</v>
      </c>
      <c r="X36" s="111">
        <f t="shared" si="18"/>
        <v>1201890</v>
      </c>
      <c r="Y36" s="111">
        <f t="shared" si="19"/>
        <v>4276230</v>
      </c>
      <c r="Z36" s="111">
        <f t="shared" ref="Z36" si="25">H36+Q36</f>
        <v>5475000</v>
      </c>
      <c r="AA36" s="112">
        <f t="shared" si="20"/>
        <v>10424580</v>
      </c>
    </row>
    <row r="37" spans="1:29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42">
        <f>T36/T40</f>
        <v>14.727525</v>
      </c>
      <c r="U37" s="342"/>
      <c r="V37" s="342"/>
      <c r="W37" s="342"/>
      <c r="X37" s="342"/>
      <c r="Y37" s="342"/>
      <c r="Z37" s="342">
        <f>Z36/Z40</f>
        <v>3.9341317365269459</v>
      </c>
      <c r="AA37" s="342">
        <f>AA36/AA40</f>
        <v>18.396317647058826</v>
      </c>
    </row>
    <row r="38" spans="1:29" s="21" customFormat="1" ht="12.75" customHeight="1" x14ac:dyDescent="0.25">
      <c r="B38" s="109"/>
      <c r="C38" s="483" t="s">
        <v>32</v>
      </c>
      <c r="D38" s="483"/>
      <c r="E38" s="483"/>
      <c r="F38" s="109"/>
      <c r="G38" s="109"/>
      <c r="H38" s="109"/>
      <c r="I38" s="17"/>
      <c r="J38" s="109"/>
      <c r="K38" s="109"/>
      <c r="L38" s="484" t="s">
        <v>61</v>
      </c>
      <c r="M38" s="484"/>
      <c r="N38" s="484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9" s="21" customFormat="1" ht="26.25" x14ac:dyDescent="0.25">
      <c r="A39" s="191"/>
      <c r="B39" s="192" t="s">
        <v>30</v>
      </c>
      <c r="C39" s="1252" t="s">
        <v>99</v>
      </c>
      <c r="D39" s="1253"/>
      <c r="E39" s="1253"/>
      <c r="F39" s="1253"/>
      <c r="G39" s="1254"/>
      <c r="H39" s="192" t="s">
        <v>33</v>
      </c>
      <c r="I39" s="17"/>
      <c r="J39" s="480"/>
      <c r="K39" s="194" t="s">
        <v>30</v>
      </c>
      <c r="L39" s="1243" t="s">
        <v>99</v>
      </c>
      <c r="M39" s="1244"/>
      <c r="N39" s="1244"/>
      <c r="O39" s="1244"/>
      <c r="P39" s="1245"/>
      <c r="Q39" s="194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9" s="21" customFormat="1" ht="45" x14ac:dyDescent="0.25">
      <c r="A40" s="477" t="s">
        <v>88</v>
      </c>
      <c r="B40" s="472">
        <f>B36</f>
        <v>983525</v>
      </c>
      <c r="C40" s="1255">
        <f>(C36)+(D36*2)+(E36*3)+(F36*4)</f>
        <v>1842090</v>
      </c>
      <c r="D40" s="1256"/>
      <c r="E40" s="1256"/>
      <c r="F40" s="1256"/>
      <c r="G40" s="1257"/>
      <c r="H40" s="473">
        <f>H36</f>
        <v>2824600</v>
      </c>
      <c r="I40" s="24"/>
      <c r="J40" s="481" t="s">
        <v>88</v>
      </c>
      <c r="K40" s="474">
        <f>K36</f>
        <v>3925650</v>
      </c>
      <c r="L40" s="1246">
        <f>(L36)+(M36*2)+(N36*3)+(O36*4)</f>
        <v>8582490</v>
      </c>
      <c r="M40" s="1247"/>
      <c r="N40" s="1247"/>
      <c r="O40" s="1247"/>
      <c r="P40" s="1248"/>
      <c r="Q40" s="475">
        <f>Q36</f>
        <v>2650400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  <c r="AC40" s="1201">
        <f>Z40*3</f>
        <v>4175000</v>
      </c>
    </row>
    <row r="41" spans="1:29" s="24" customFormat="1" ht="37.5" customHeight="1" x14ac:dyDescent="0.25">
      <c r="A41" s="477" t="s">
        <v>89</v>
      </c>
      <c r="B41" s="1021">
        <f>B40/T40</f>
        <v>2.9505750000000002</v>
      </c>
      <c r="C41" s="1258">
        <f>C40/AA40</f>
        <v>3.2507470588235297</v>
      </c>
      <c r="D41" s="1259"/>
      <c r="E41" s="1259"/>
      <c r="F41" s="1259"/>
      <c r="G41" s="1260"/>
      <c r="H41" s="1021">
        <f>H40/Z40</f>
        <v>2.0296526946107782</v>
      </c>
      <c r="I41" s="1016"/>
      <c r="J41" s="1017" t="s">
        <v>89</v>
      </c>
      <c r="K41" s="1018">
        <f>K40/T40</f>
        <v>11.776950000000001</v>
      </c>
      <c r="L41" s="1262">
        <f>L40/AA40</f>
        <v>15.145570588235294</v>
      </c>
      <c r="M41" s="1263"/>
      <c r="N41" s="1263"/>
      <c r="O41" s="1263"/>
      <c r="P41" s="1264"/>
      <c r="Q41" s="1018">
        <f>Q40/Z40</f>
        <v>1.9044790419161675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  <c r="AC41" s="24">
        <f>AA40*3</f>
        <v>1700000</v>
      </c>
    </row>
    <row r="42" spans="1:29" ht="18.75" x14ac:dyDescent="0.3">
      <c r="A42" s="478" t="s">
        <v>102</v>
      </c>
      <c r="B42" s="1025">
        <f>B34/T40</f>
        <v>2.8905750000000001</v>
      </c>
      <c r="C42" s="1241">
        <f>(C34+(D34*2)+(E34*3)+(F34*4))/AA40</f>
        <v>1.0257352941176472</v>
      </c>
      <c r="D42" s="1241"/>
      <c r="E42" s="1241"/>
      <c r="F42" s="1241"/>
      <c r="G42" s="1241"/>
      <c r="H42" s="1025">
        <f>H34/Z40</f>
        <v>2.0296526946107782</v>
      </c>
      <c r="I42" s="1020"/>
      <c r="J42" s="1019" t="s">
        <v>102</v>
      </c>
      <c r="K42" s="1004">
        <f>K34/T40</f>
        <v>5.7769500000000003</v>
      </c>
      <c r="L42" s="1261">
        <f>(L34+(M34*2)+(N34*3)+(O34*4))/AA40</f>
        <v>7.6958470588235297</v>
      </c>
      <c r="M42" s="1261"/>
      <c r="N42" s="1261"/>
      <c r="O42" s="1261"/>
      <c r="P42" s="1261"/>
      <c r="Q42" s="1004">
        <f>Q34/Z40</f>
        <v>1.9044790419161675</v>
      </c>
    </row>
    <row r="43" spans="1:29" ht="18.75" x14ac:dyDescent="0.3">
      <c r="A43" s="479" t="s">
        <v>103</v>
      </c>
      <c r="B43" s="1025">
        <f>B35/T40</f>
        <v>6.0000000000000005E-2</v>
      </c>
      <c r="C43" s="1242">
        <f>(C35+(D35*2)+(E35*3)+(F35*4))/AA40</f>
        <v>2.2250117647058825</v>
      </c>
      <c r="D43" s="1242"/>
      <c r="E43" s="1242"/>
      <c r="F43" s="1242"/>
      <c r="G43" s="1242"/>
      <c r="H43" s="1025">
        <f>H35/Z40</f>
        <v>0</v>
      </c>
      <c r="I43" s="1020"/>
      <c r="J43" s="1019" t="s">
        <v>103</v>
      </c>
      <c r="K43" s="1004">
        <f>K35/T40</f>
        <v>6</v>
      </c>
      <c r="L43" s="1240">
        <f>(L35+(M35*2)+(N35*3)+(O35*4))/AA40</f>
        <v>7.4497235294117656</v>
      </c>
      <c r="M43" s="1240"/>
      <c r="N43" s="1240"/>
      <c r="O43" s="1240"/>
      <c r="P43" s="1240"/>
      <c r="Q43" s="1004">
        <f>Q35/Z40</f>
        <v>0</v>
      </c>
    </row>
    <row r="44" spans="1:29" x14ac:dyDescent="0.25">
      <c r="B44" s="297"/>
      <c r="C44"/>
      <c r="H44" s="193"/>
      <c r="K44" s="193"/>
      <c r="L44" s="525"/>
      <c r="M44" s="976"/>
      <c r="N44" s="525"/>
      <c r="O44" s="525"/>
      <c r="P44" s="525"/>
      <c r="Q44" s="193"/>
    </row>
    <row r="45" spans="1:29" ht="15.75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3"/>
      <c r="P45" s="525"/>
      <c r="Q45" s="1"/>
      <c r="U45" s="1202" t="s">
        <v>708</v>
      </c>
      <c r="Y45">
        <v>249000</v>
      </c>
      <c r="Z45">
        <f>Y45/30</f>
        <v>8300</v>
      </c>
      <c r="AA45">
        <f>Z45</f>
        <v>8300</v>
      </c>
    </row>
    <row r="46" spans="1:29" ht="15.75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  <c r="U46" s="1202" t="s">
        <v>709</v>
      </c>
      <c r="Y46">
        <v>450000</v>
      </c>
      <c r="Z46">
        <f t="shared" ref="Z46:Z48" si="26">Y46/30</f>
        <v>15000</v>
      </c>
      <c r="AA46">
        <f>Z46/2</f>
        <v>7500</v>
      </c>
    </row>
    <row r="47" spans="1:29" ht="15.75" x14ac:dyDescent="0.25">
      <c r="B47"/>
      <c r="C47"/>
      <c r="D47"/>
      <c r="E47"/>
      <c r="F47"/>
      <c r="U47" s="1202" t="s">
        <v>710</v>
      </c>
      <c r="Y47">
        <v>285000</v>
      </c>
      <c r="Z47">
        <f t="shared" si="26"/>
        <v>9500</v>
      </c>
      <c r="AA47">
        <v>3167</v>
      </c>
    </row>
    <row r="48" spans="1:29" ht="15.75" x14ac:dyDescent="0.25">
      <c r="B48"/>
      <c r="C48"/>
      <c r="D48"/>
      <c r="E48"/>
      <c r="F48"/>
      <c r="U48" s="1202" t="s">
        <v>711</v>
      </c>
      <c r="Y48">
        <v>720000</v>
      </c>
      <c r="Z48">
        <f t="shared" si="26"/>
        <v>24000</v>
      </c>
      <c r="AA48">
        <f>Z48/4</f>
        <v>6000</v>
      </c>
    </row>
    <row r="49" spans="2:27" x14ac:dyDescent="0.25">
      <c r="B49" s="46"/>
      <c r="O49" s="230"/>
      <c r="Q49" s="1"/>
      <c r="Y49">
        <f>SUM(Y45:Y48)</f>
        <v>1704000</v>
      </c>
      <c r="AA49" s="18">
        <f>SUM(AA45:AA48)</f>
        <v>24967</v>
      </c>
    </row>
    <row r="50" spans="2:27" x14ac:dyDescent="0.25">
      <c r="C50" s="1">
        <f>C46/100*G50</f>
        <v>248835.08284261718</v>
      </c>
      <c r="D50" s="1">
        <f>D46/100*G50</f>
        <v>450290.77210050845</v>
      </c>
      <c r="E50" s="1">
        <f>E46/100*G50</f>
        <v>284400.71687209688</v>
      </c>
      <c r="F50" s="1">
        <f>F46/100*G50</f>
        <v>716473.42818477738</v>
      </c>
      <c r="G50" s="1">
        <v>1700000</v>
      </c>
      <c r="Y50">
        <f>Y49/AA40</f>
        <v>3.007058823529412</v>
      </c>
    </row>
    <row r="51" spans="2:27" x14ac:dyDescent="0.25">
      <c r="C51" s="1148">
        <v>249000</v>
      </c>
      <c r="D51" s="1148">
        <v>450000</v>
      </c>
      <c r="E51" s="1148">
        <v>285000</v>
      </c>
      <c r="F51" s="1148">
        <v>720000</v>
      </c>
      <c r="G51" s="1">
        <f>C51+D51+E51+F51</f>
        <v>1704000</v>
      </c>
    </row>
    <row r="52" spans="2:27" x14ac:dyDescent="0.25">
      <c r="G52"/>
    </row>
    <row r="54" spans="2:27" x14ac:dyDescent="0.25">
      <c r="B54" s="182"/>
    </row>
  </sheetData>
  <mergeCells count="24">
    <mergeCell ref="L21:P21"/>
    <mergeCell ref="C40:G40"/>
    <mergeCell ref="L39:P39"/>
    <mergeCell ref="A26:H26"/>
    <mergeCell ref="C39:G39"/>
    <mergeCell ref="L40:P40"/>
    <mergeCell ref="A27:H27"/>
    <mergeCell ref="L43:P43"/>
    <mergeCell ref="C43:G43"/>
    <mergeCell ref="L42:P42"/>
    <mergeCell ref="C41:G41"/>
    <mergeCell ref="C42:G42"/>
    <mergeCell ref="L41:P41"/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</mergeCells>
  <pageMargins left="0.7" right="0.7" top="0.75" bottom="0.75" header="0.3" footer="0.3"/>
  <pageSetup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topLeftCell="F2" zoomScale="91" zoomScaleNormal="91" workbookViewId="0">
      <selection activeCell="N10" sqref="N10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76" t="s">
        <v>311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376"/>
      <c r="V1" s="376"/>
      <c r="W1" s="376"/>
      <c r="X1" s="376"/>
      <c r="Y1" s="376"/>
      <c r="Z1" s="376"/>
      <c r="AA1" s="376"/>
      <c r="AB1" s="376"/>
      <c r="AC1" s="376"/>
      <c r="AD1" s="376"/>
    </row>
    <row r="2" spans="1:30" x14ac:dyDescent="0.2">
      <c r="U2" s="37"/>
    </row>
    <row r="3" spans="1:30" ht="21" customHeight="1" x14ac:dyDescent="0.25">
      <c r="A3" s="1268" t="s">
        <v>700</v>
      </c>
      <c r="B3" s="1268"/>
      <c r="C3" s="1268"/>
      <c r="D3" s="1268"/>
      <c r="E3" s="1268"/>
      <c r="F3" s="1268"/>
      <c r="G3" s="1268"/>
      <c r="H3" s="1268"/>
      <c r="I3" s="1268"/>
      <c r="J3" s="1268"/>
      <c r="L3" s="9" t="s">
        <v>39</v>
      </c>
      <c r="U3" s="37"/>
      <c r="W3" s="8" t="s">
        <v>104</v>
      </c>
    </row>
    <row r="4" spans="1:30" ht="60" x14ac:dyDescent="0.2">
      <c r="A4" s="214" t="s">
        <v>1</v>
      </c>
      <c r="B4" s="215" t="s">
        <v>34</v>
      </c>
      <c r="C4" s="215" t="s">
        <v>35</v>
      </c>
      <c r="D4" s="215" t="s">
        <v>36</v>
      </c>
      <c r="E4" s="215" t="s">
        <v>172</v>
      </c>
      <c r="F4" s="215" t="s">
        <v>38</v>
      </c>
      <c r="G4" s="215" t="s">
        <v>37</v>
      </c>
      <c r="H4" s="215" t="s">
        <v>63</v>
      </c>
      <c r="I4" s="215" t="s">
        <v>64</v>
      </c>
      <c r="J4" s="215" t="s">
        <v>62</v>
      </c>
      <c r="L4" s="208" t="s">
        <v>1</v>
      </c>
      <c r="M4" s="209" t="s">
        <v>34</v>
      </c>
      <c r="N4" s="209" t="s">
        <v>35</v>
      </c>
      <c r="O4" s="209" t="s">
        <v>36</v>
      </c>
      <c r="P4" s="209" t="s">
        <v>172</v>
      </c>
      <c r="Q4" s="209" t="s">
        <v>38</v>
      </c>
      <c r="R4" s="209" t="s">
        <v>37</v>
      </c>
      <c r="S4" s="209" t="s">
        <v>63</v>
      </c>
      <c r="T4" s="209" t="s">
        <v>64</v>
      </c>
      <c r="U4" s="209" t="s">
        <v>62</v>
      </c>
      <c r="V4" s="133"/>
      <c r="W4" s="38"/>
      <c r="X4" s="343" t="s">
        <v>34</v>
      </c>
      <c r="Y4" s="343" t="s">
        <v>35</v>
      </c>
      <c r="Z4" s="343" t="s">
        <v>36</v>
      </c>
      <c r="AA4" s="343" t="s">
        <v>172</v>
      </c>
      <c r="AB4" s="343" t="s">
        <v>38</v>
      </c>
      <c r="AC4" s="343" t="s">
        <v>37</v>
      </c>
      <c r="AD4" s="343" t="s">
        <v>62</v>
      </c>
    </row>
    <row r="5" spans="1:30" s="39" customFormat="1" x14ac:dyDescent="0.2">
      <c r="A5" s="216" t="s">
        <v>8</v>
      </c>
      <c r="B5" s="217">
        <v>0</v>
      </c>
      <c r="C5" s="217">
        <v>10000</v>
      </c>
      <c r="D5" s="834">
        <v>0</v>
      </c>
      <c r="E5" s="217">
        <v>17205</v>
      </c>
      <c r="F5" s="217">
        <v>1760</v>
      </c>
      <c r="G5" s="217">
        <v>0</v>
      </c>
      <c r="H5" s="217">
        <v>0</v>
      </c>
      <c r="I5" s="217">
        <v>0</v>
      </c>
      <c r="J5" s="217">
        <v>1509</v>
      </c>
      <c r="K5" s="30"/>
      <c r="L5" s="206" t="s">
        <v>8</v>
      </c>
      <c r="M5" s="207">
        <f>'NDoH Outstanding Orders'!L77</f>
        <v>150000</v>
      </c>
      <c r="N5" s="207">
        <f>'NDoH Outstanding Orders'!M77</f>
        <v>0</v>
      </c>
      <c r="O5" s="207">
        <f>'NDoH Outstanding Orders'!N77</f>
        <v>0</v>
      </c>
      <c r="P5" s="207">
        <f>'NDoH Outstanding Orders'!O77</f>
        <v>0</v>
      </c>
      <c r="Q5" s="207">
        <f>'NDoH Outstanding Orders'!P77</f>
        <v>4000</v>
      </c>
      <c r="R5" s="207">
        <f>'NDoH Outstanding Orders'!Q77</f>
        <v>100000</v>
      </c>
      <c r="S5" s="207">
        <f>'NDoH Outstanding Orders'!R77</f>
        <v>0</v>
      </c>
      <c r="T5" s="207">
        <f>'NDoH Outstanding Orders'!S77</f>
        <v>0</v>
      </c>
      <c r="U5" s="207">
        <f>'NDoH Outstanding Orders'!T77</f>
        <v>0</v>
      </c>
      <c r="W5" s="125" t="s">
        <v>8</v>
      </c>
      <c r="X5" s="126">
        <f>B5+M5</f>
        <v>150000</v>
      </c>
      <c r="Y5" s="126">
        <f t="shared" ref="Y5:AC5" si="0">C5+N5</f>
        <v>10000</v>
      </c>
      <c r="Z5" s="126">
        <f t="shared" si="0"/>
        <v>0</v>
      </c>
      <c r="AA5" s="126">
        <f t="shared" si="0"/>
        <v>17205</v>
      </c>
      <c r="AB5" s="126">
        <f t="shared" si="0"/>
        <v>5760</v>
      </c>
      <c r="AC5" s="126">
        <f t="shared" si="0"/>
        <v>100000</v>
      </c>
      <c r="AD5" s="126">
        <f t="shared" ref="AD5:AD10" si="1">J5+U5</f>
        <v>1509</v>
      </c>
    </row>
    <row r="6" spans="1:30" s="39" customFormat="1" x14ac:dyDescent="0.2">
      <c r="A6" s="216" t="s">
        <v>9</v>
      </c>
      <c r="B6" s="217">
        <v>0</v>
      </c>
      <c r="C6" s="217">
        <v>6270</v>
      </c>
      <c r="D6" s="217">
        <v>0</v>
      </c>
      <c r="E6" s="217">
        <v>5130</v>
      </c>
      <c r="F6" s="834">
        <v>0</v>
      </c>
      <c r="G6" s="891">
        <v>2000</v>
      </c>
      <c r="H6" s="217">
        <v>0</v>
      </c>
      <c r="I6" s="217">
        <v>0</v>
      </c>
      <c r="J6" s="217">
        <v>0</v>
      </c>
      <c r="K6" s="30"/>
      <c r="L6" s="206" t="s">
        <v>9</v>
      </c>
      <c r="M6" s="207">
        <f>'NDoH Outstanding Orders'!L138</f>
        <v>124400</v>
      </c>
      <c r="N6" s="207">
        <f>'NDoH Outstanding Orders'!M138</f>
        <v>20000</v>
      </c>
      <c r="O6" s="207">
        <f>'NDoH Outstanding Orders'!N138</f>
        <v>4000</v>
      </c>
      <c r="P6" s="207">
        <f>'NDoH Outstanding Orders'!O138</f>
        <v>0</v>
      </c>
      <c r="Q6" s="207">
        <f>'NDoH Outstanding Orders'!P138</f>
        <v>1000</v>
      </c>
      <c r="R6" s="207">
        <f>'NDoH Outstanding Orders'!Q138</f>
        <v>100000</v>
      </c>
      <c r="S6" s="207">
        <f>'NDoH Outstanding Orders'!R138</f>
        <v>0</v>
      </c>
      <c r="T6" s="207">
        <f>'NDoH Outstanding Orders'!S138</f>
        <v>0</v>
      </c>
      <c r="U6" s="207">
        <f>'NDoH Outstanding Orders'!T138</f>
        <v>0</v>
      </c>
      <c r="W6" s="125" t="s">
        <v>9</v>
      </c>
      <c r="X6" s="126">
        <f t="shared" ref="X6:AC10" si="2">B6+M6</f>
        <v>124400</v>
      </c>
      <c r="Y6" s="126">
        <f t="shared" si="2"/>
        <v>26270</v>
      </c>
      <c r="Z6" s="126">
        <f t="shared" si="2"/>
        <v>4000</v>
      </c>
      <c r="AA6" s="126">
        <f t="shared" si="2"/>
        <v>5130</v>
      </c>
      <c r="AB6" s="126">
        <f t="shared" si="2"/>
        <v>1000</v>
      </c>
      <c r="AC6" s="126">
        <f t="shared" si="2"/>
        <v>102000</v>
      </c>
      <c r="AD6" s="126">
        <f t="shared" si="1"/>
        <v>0</v>
      </c>
    </row>
    <row r="7" spans="1:30" s="39" customFormat="1" x14ac:dyDescent="0.2">
      <c r="A7" s="216" t="s">
        <v>11</v>
      </c>
      <c r="B7" s="217">
        <v>0</v>
      </c>
      <c r="C7" s="834">
        <v>1070</v>
      </c>
      <c r="D7" s="217">
        <v>4480</v>
      </c>
      <c r="E7" s="217">
        <v>0</v>
      </c>
      <c r="F7" s="217">
        <f>22-22</f>
        <v>0</v>
      </c>
      <c r="G7" s="834">
        <v>0</v>
      </c>
      <c r="H7" s="217">
        <v>0</v>
      </c>
      <c r="I7" s="217">
        <v>0</v>
      </c>
      <c r="J7" s="217">
        <v>0</v>
      </c>
      <c r="K7" s="30"/>
      <c r="L7" s="206" t="s">
        <v>11</v>
      </c>
      <c r="M7" s="207">
        <f>'NDoH Outstanding Orders'!L192</f>
        <v>100000</v>
      </c>
      <c r="N7" s="207">
        <f>'NDoH Outstanding Orders'!M192</f>
        <v>2000</v>
      </c>
      <c r="O7" s="207">
        <f>'NDoH Outstanding Orders'!N192</f>
        <v>5000</v>
      </c>
      <c r="P7" s="207">
        <f>'NDoH Outstanding Orders'!O192</f>
        <v>0</v>
      </c>
      <c r="Q7" s="207">
        <f>'NDoH Outstanding Orders'!P192</f>
        <v>1500</v>
      </c>
      <c r="R7" s="207">
        <f>'NDoH Outstanding Orders'!Q192</f>
        <v>100000</v>
      </c>
      <c r="S7" s="207">
        <f>'NDoH Outstanding Orders'!R192</f>
        <v>0</v>
      </c>
      <c r="T7" s="207">
        <f>'NDoH Outstanding Orders'!S192</f>
        <v>0</v>
      </c>
      <c r="U7" s="207">
        <f>'NDoH Outstanding Orders'!T192</f>
        <v>0</v>
      </c>
      <c r="W7" s="125" t="s">
        <v>11</v>
      </c>
      <c r="X7" s="126">
        <f t="shared" si="2"/>
        <v>100000</v>
      </c>
      <c r="Y7" s="126">
        <f t="shared" si="2"/>
        <v>3070</v>
      </c>
      <c r="Z7" s="126">
        <f t="shared" si="2"/>
        <v>9480</v>
      </c>
      <c r="AA7" s="126">
        <f t="shared" si="2"/>
        <v>0</v>
      </c>
      <c r="AB7" s="126">
        <f t="shared" si="2"/>
        <v>1500</v>
      </c>
      <c r="AC7" s="126">
        <f t="shared" si="2"/>
        <v>100000</v>
      </c>
      <c r="AD7" s="126">
        <f t="shared" si="1"/>
        <v>0</v>
      </c>
    </row>
    <row r="8" spans="1:30" s="39" customFormat="1" x14ac:dyDescent="0.2">
      <c r="A8" s="216" t="s">
        <v>10</v>
      </c>
      <c r="B8" s="217">
        <v>0</v>
      </c>
      <c r="C8" s="834">
        <v>3680</v>
      </c>
      <c r="D8" s="834">
        <v>690</v>
      </c>
      <c r="E8" s="834">
        <v>0</v>
      </c>
      <c r="F8" s="834">
        <v>0</v>
      </c>
      <c r="G8" s="834">
        <v>0</v>
      </c>
      <c r="H8" s="834">
        <v>0</v>
      </c>
      <c r="I8" s="834">
        <v>0</v>
      </c>
      <c r="J8" s="834">
        <v>0</v>
      </c>
      <c r="K8" s="30"/>
      <c r="L8" s="206" t="s">
        <v>10</v>
      </c>
      <c r="M8" s="207">
        <f>'NDoH Outstanding Orders'!L258</f>
        <v>150000</v>
      </c>
      <c r="N8" s="207">
        <f>'NDoH Outstanding Orders'!M258</f>
        <v>0</v>
      </c>
      <c r="O8" s="207">
        <f>'NDoH Outstanding Orders'!N258</f>
        <v>7000</v>
      </c>
      <c r="P8" s="207">
        <f>'NDoH Outstanding Orders'!O258</f>
        <v>0</v>
      </c>
      <c r="Q8" s="207">
        <f>'NDoH Outstanding Orders'!P258</f>
        <v>2000</v>
      </c>
      <c r="R8" s="207">
        <f>'NDoH Outstanding Orders'!Q258</f>
        <v>100000</v>
      </c>
      <c r="S8" s="207">
        <f>'NDoH Outstanding Orders'!R258</f>
        <v>0</v>
      </c>
      <c r="T8" s="207">
        <f>'NDoH Outstanding Orders'!S258</f>
        <v>0</v>
      </c>
      <c r="U8" s="207">
        <f>'NDoH Outstanding Orders'!T258</f>
        <v>0</v>
      </c>
      <c r="W8" s="125" t="s">
        <v>10</v>
      </c>
      <c r="X8" s="126">
        <f t="shared" si="2"/>
        <v>150000</v>
      </c>
      <c r="Y8" s="126">
        <f t="shared" si="2"/>
        <v>3680</v>
      </c>
      <c r="Z8" s="126">
        <f t="shared" si="2"/>
        <v>7690</v>
      </c>
      <c r="AA8" s="126">
        <f t="shared" si="2"/>
        <v>0</v>
      </c>
      <c r="AB8" s="126">
        <f t="shared" si="2"/>
        <v>2000</v>
      </c>
      <c r="AC8" s="126">
        <f t="shared" si="2"/>
        <v>100000</v>
      </c>
      <c r="AD8" s="126">
        <f t="shared" si="1"/>
        <v>0</v>
      </c>
    </row>
    <row r="9" spans="1:30" s="39" customFormat="1" x14ac:dyDescent="0.2">
      <c r="A9" s="216" t="s">
        <v>12</v>
      </c>
      <c r="B9" s="217">
        <v>0</v>
      </c>
      <c r="C9" s="834">
        <v>42204</v>
      </c>
      <c r="D9" s="834">
        <v>14346</v>
      </c>
      <c r="E9" s="217">
        <v>3083</v>
      </c>
      <c r="F9" s="217">
        <v>0</v>
      </c>
      <c r="G9" s="227">
        <v>50200</v>
      </c>
      <c r="H9" s="217">
        <v>0</v>
      </c>
      <c r="I9" s="217">
        <v>0</v>
      </c>
      <c r="J9" s="217">
        <v>924</v>
      </c>
      <c r="K9" s="30"/>
      <c r="L9" s="206" t="s">
        <v>12</v>
      </c>
      <c r="M9" s="207">
        <f>'NDoH Outstanding Orders'!L332</f>
        <v>100000</v>
      </c>
      <c r="N9" s="207">
        <f>'NDoH Outstanding Orders'!M332</f>
        <v>5000</v>
      </c>
      <c r="O9" s="207">
        <f>'NDoH Outstanding Orders'!N332</f>
        <v>5000</v>
      </c>
      <c r="P9" s="207">
        <f>'NDoH Outstanding Orders'!O332</f>
        <v>0</v>
      </c>
      <c r="Q9" s="207">
        <f>'NDoH Outstanding Orders'!P332</f>
        <v>1500</v>
      </c>
      <c r="R9" s="207">
        <f>'NDoH Outstanding Orders'!Q332</f>
        <v>100000</v>
      </c>
      <c r="S9" s="207">
        <f>'NDoH Outstanding Orders'!R332</f>
        <v>0</v>
      </c>
      <c r="T9" s="207">
        <f>'NDoH Outstanding Orders'!S332</f>
        <v>0</v>
      </c>
      <c r="U9" s="207">
        <f>'NDoH Outstanding Orders'!T332</f>
        <v>0</v>
      </c>
      <c r="W9" s="125" t="s">
        <v>12</v>
      </c>
      <c r="X9" s="126">
        <f t="shared" si="2"/>
        <v>100000</v>
      </c>
      <c r="Y9" s="126">
        <f t="shared" si="2"/>
        <v>47204</v>
      </c>
      <c r="Z9" s="126">
        <f t="shared" si="2"/>
        <v>19346</v>
      </c>
      <c r="AA9" s="126">
        <f t="shared" si="2"/>
        <v>3083</v>
      </c>
      <c r="AB9" s="126">
        <f t="shared" si="2"/>
        <v>1500</v>
      </c>
      <c r="AC9" s="126">
        <f t="shared" si="2"/>
        <v>150200</v>
      </c>
      <c r="AD9" s="126">
        <f t="shared" si="1"/>
        <v>924</v>
      </c>
    </row>
    <row r="10" spans="1:30" s="123" customFormat="1" x14ac:dyDescent="0.2">
      <c r="A10" s="212" t="s">
        <v>13</v>
      </c>
      <c r="B10" s="286">
        <f t="shared" ref="B10:G10" si="3">SUM(B5:B9)</f>
        <v>0</v>
      </c>
      <c r="C10" s="286">
        <f>SUM(C5:C9)</f>
        <v>63224</v>
      </c>
      <c r="D10" s="286">
        <f t="shared" si="3"/>
        <v>19516</v>
      </c>
      <c r="E10" s="286">
        <f t="shared" si="3"/>
        <v>25418</v>
      </c>
      <c r="F10" s="286">
        <f t="shared" si="3"/>
        <v>1760</v>
      </c>
      <c r="G10" s="286">
        <f t="shared" si="3"/>
        <v>52200</v>
      </c>
      <c r="H10" s="286">
        <v>0</v>
      </c>
      <c r="I10" s="286">
        <v>0</v>
      </c>
      <c r="J10" s="286">
        <f>SUM(J5:J9)</f>
        <v>2433</v>
      </c>
      <c r="K10" s="30"/>
      <c r="L10" s="287" t="s">
        <v>13</v>
      </c>
      <c r="M10" s="286">
        <f>SUM(M5:M9)</f>
        <v>624400</v>
      </c>
      <c r="N10" s="836">
        <f>SUM(N5:N9)</f>
        <v>27000</v>
      </c>
      <c r="O10" s="836">
        <f t="shared" ref="O10:U10" si="4">SUM(O5:O9)</f>
        <v>21000</v>
      </c>
      <c r="P10" s="836">
        <f>SUM(P5:P9)</f>
        <v>0</v>
      </c>
      <c r="Q10" s="836">
        <f t="shared" si="4"/>
        <v>10000</v>
      </c>
      <c r="R10" s="836">
        <f t="shared" si="4"/>
        <v>500000</v>
      </c>
      <c r="S10" s="836">
        <f t="shared" si="4"/>
        <v>0</v>
      </c>
      <c r="T10" s="836">
        <f t="shared" si="4"/>
        <v>0</v>
      </c>
      <c r="U10" s="836">
        <f t="shared" si="4"/>
        <v>0</v>
      </c>
      <c r="W10" s="288" t="s">
        <v>13</v>
      </c>
      <c r="X10" s="289">
        <f>B10+M10</f>
        <v>624400</v>
      </c>
      <c r="Y10" s="289">
        <f t="shared" si="2"/>
        <v>90224</v>
      </c>
      <c r="Z10" s="289">
        <f t="shared" si="2"/>
        <v>40516</v>
      </c>
      <c r="AA10" s="289">
        <f t="shared" si="2"/>
        <v>25418</v>
      </c>
      <c r="AB10" s="289">
        <f t="shared" si="2"/>
        <v>11760</v>
      </c>
      <c r="AC10" s="289">
        <f t="shared" si="2"/>
        <v>552200</v>
      </c>
      <c r="AD10" s="289">
        <f t="shared" si="1"/>
        <v>2433</v>
      </c>
    </row>
    <row r="11" spans="1:30" s="123" customFormat="1" x14ac:dyDescent="0.2">
      <c r="A11" s="212" t="s">
        <v>14</v>
      </c>
      <c r="B11" s="290">
        <v>0</v>
      </c>
      <c r="C11" s="290">
        <v>0</v>
      </c>
      <c r="D11" s="290">
        <v>0</v>
      </c>
      <c r="E11" s="290">
        <v>0</v>
      </c>
      <c r="F11" s="213">
        <v>0</v>
      </c>
      <c r="G11" s="290">
        <v>0</v>
      </c>
      <c r="H11" s="213">
        <v>0</v>
      </c>
      <c r="I11" s="213">
        <v>0</v>
      </c>
      <c r="J11" s="213">
        <v>0</v>
      </c>
      <c r="K11" s="30"/>
      <c r="L11" s="212" t="s">
        <v>14</v>
      </c>
      <c r="M11" s="213">
        <v>0</v>
      </c>
      <c r="N11" s="213">
        <v>0</v>
      </c>
      <c r="O11" s="213">
        <v>0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W11" s="288" t="s">
        <v>14</v>
      </c>
      <c r="X11" s="289">
        <f>B11+M11</f>
        <v>0</v>
      </c>
      <c r="Y11" s="289">
        <f t="shared" ref="Y11:AD11" si="5">C11+N11</f>
        <v>0</v>
      </c>
      <c r="Z11" s="289">
        <f t="shared" si="5"/>
        <v>0</v>
      </c>
      <c r="AA11" s="289">
        <f t="shared" si="5"/>
        <v>0</v>
      </c>
      <c r="AB11" s="289">
        <f t="shared" si="5"/>
        <v>0</v>
      </c>
      <c r="AC11" s="289">
        <f t="shared" si="5"/>
        <v>0</v>
      </c>
      <c r="AD11" s="289">
        <f t="shared" si="5"/>
        <v>0</v>
      </c>
    </row>
    <row r="12" spans="1:30" s="40" customFormat="1" x14ac:dyDescent="0.2">
      <c r="A12" s="210" t="s">
        <v>15</v>
      </c>
      <c r="B12" s="211">
        <f>B11+B10</f>
        <v>0</v>
      </c>
      <c r="C12" s="211">
        <f t="shared" ref="C12:J12" si="6">C11+C10</f>
        <v>63224</v>
      </c>
      <c r="D12" s="211">
        <f t="shared" si="6"/>
        <v>19516</v>
      </c>
      <c r="E12" s="211">
        <f t="shared" si="6"/>
        <v>25418</v>
      </c>
      <c r="F12" s="211">
        <f t="shared" si="6"/>
        <v>1760</v>
      </c>
      <c r="G12" s="211">
        <f t="shared" si="6"/>
        <v>52200</v>
      </c>
      <c r="H12" s="211">
        <f t="shared" si="6"/>
        <v>0</v>
      </c>
      <c r="I12" s="211">
        <f t="shared" si="6"/>
        <v>0</v>
      </c>
      <c r="J12" s="211">
        <f t="shared" si="6"/>
        <v>2433</v>
      </c>
      <c r="L12" s="210" t="s">
        <v>15</v>
      </c>
      <c r="M12" s="211">
        <f>M10+M11</f>
        <v>624400</v>
      </c>
      <c r="N12" s="828">
        <f t="shared" ref="N12:U12" si="7">N10+N11</f>
        <v>27000</v>
      </c>
      <c r="O12" s="828">
        <f t="shared" si="7"/>
        <v>21000</v>
      </c>
      <c r="P12" s="828">
        <f>P10+P11</f>
        <v>0</v>
      </c>
      <c r="Q12" s="828">
        <f>Q10+Q11</f>
        <v>10000</v>
      </c>
      <c r="R12" s="828">
        <f t="shared" si="7"/>
        <v>500000</v>
      </c>
      <c r="S12" s="828">
        <f t="shared" si="7"/>
        <v>0</v>
      </c>
      <c r="T12" s="828">
        <f t="shared" si="7"/>
        <v>0</v>
      </c>
      <c r="U12" s="828">
        <f t="shared" si="7"/>
        <v>0</v>
      </c>
      <c r="W12" s="344" t="s">
        <v>15</v>
      </c>
      <c r="X12" s="41">
        <f t="shared" ref="X12:AD12" si="8">X10+X11</f>
        <v>624400</v>
      </c>
      <c r="Y12" s="41">
        <f>Y10+Y11</f>
        <v>90224</v>
      </c>
      <c r="Z12" s="41">
        <f t="shared" si="8"/>
        <v>40516</v>
      </c>
      <c r="AA12" s="41">
        <f t="shared" si="8"/>
        <v>25418</v>
      </c>
      <c r="AB12" s="41">
        <f t="shared" si="8"/>
        <v>11760</v>
      </c>
      <c r="AC12" s="41">
        <f t="shared" si="8"/>
        <v>552200</v>
      </c>
      <c r="AD12" s="41">
        <f t="shared" si="8"/>
        <v>2433</v>
      </c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1269" t="s">
        <v>98</v>
      </c>
      <c r="B16" s="1269"/>
      <c r="C16" s="1269"/>
      <c r="D16" s="1269"/>
      <c r="E16" s="1269"/>
      <c r="F16" s="1269"/>
      <c r="G16" s="1269"/>
      <c r="H16" s="1269"/>
      <c r="I16" s="1269"/>
      <c r="J16" s="1269"/>
      <c r="K16" s="1269"/>
      <c r="L16" s="1269"/>
      <c r="M16" s="1269"/>
      <c r="N16" s="1269"/>
      <c r="O16" s="1269"/>
      <c r="P16" s="1269"/>
      <c r="Q16" s="1269"/>
      <c r="R16" s="1269"/>
      <c r="S16" s="1269"/>
      <c r="T16" s="1269"/>
      <c r="U16" s="1269"/>
      <c r="V16" s="1269"/>
      <c r="W16" s="1269"/>
      <c r="X16" s="1269"/>
      <c r="Y16" s="1269"/>
      <c r="Z16" s="1269"/>
      <c r="AA16" s="1269"/>
      <c r="AB16" s="1269"/>
      <c r="AC16" s="1269"/>
      <c r="AD16" s="1269"/>
    </row>
    <row r="17" spans="1:30" ht="21" customHeight="1" x14ac:dyDescent="0.25">
      <c r="A17" s="1268" t="s">
        <v>696</v>
      </c>
      <c r="B17" s="1268"/>
      <c r="C17" s="1268"/>
      <c r="D17" s="1268"/>
      <c r="E17" s="1268"/>
      <c r="F17" s="1268"/>
      <c r="G17" s="1268"/>
      <c r="H17" s="1268"/>
      <c r="I17" s="1268"/>
      <c r="J17" s="1268"/>
      <c r="L17" s="9" t="s">
        <v>39</v>
      </c>
      <c r="U17" s="826"/>
      <c r="W17" s="8" t="s">
        <v>104</v>
      </c>
    </row>
    <row r="18" spans="1:30" ht="60" x14ac:dyDescent="0.2">
      <c r="A18" s="831" t="s">
        <v>1</v>
      </c>
      <c r="B18" s="832" t="s">
        <v>34</v>
      </c>
      <c r="C18" s="832" t="s">
        <v>35</v>
      </c>
      <c r="D18" s="832" t="s">
        <v>36</v>
      </c>
      <c r="E18" s="832" t="s">
        <v>172</v>
      </c>
      <c r="F18" s="832" t="s">
        <v>38</v>
      </c>
      <c r="G18" s="832" t="s">
        <v>37</v>
      </c>
      <c r="H18" s="832" t="s">
        <v>63</v>
      </c>
      <c r="I18" s="832" t="s">
        <v>64</v>
      </c>
      <c r="J18" s="832" t="s">
        <v>62</v>
      </c>
      <c r="L18" s="208" t="s">
        <v>1</v>
      </c>
      <c r="M18" s="209" t="s">
        <v>34</v>
      </c>
      <c r="N18" s="209" t="s">
        <v>35</v>
      </c>
      <c r="O18" s="209" t="s">
        <v>36</v>
      </c>
      <c r="P18" s="209" t="s">
        <v>172</v>
      </c>
      <c r="Q18" s="209" t="s">
        <v>38</v>
      </c>
      <c r="R18" s="209" t="s">
        <v>37</v>
      </c>
      <c r="S18" s="209" t="s">
        <v>63</v>
      </c>
      <c r="T18" s="209" t="s">
        <v>64</v>
      </c>
      <c r="U18" s="209" t="s">
        <v>62</v>
      </c>
      <c r="V18" s="133"/>
      <c r="W18" s="38"/>
      <c r="X18" s="343" t="s">
        <v>34</v>
      </c>
      <c r="Y18" s="343" t="s">
        <v>35</v>
      </c>
      <c r="Z18" s="343" t="s">
        <v>36</v>
      </c>
      <c r="AA18" s="343" t="s">
        <v>172</v>
      </c>
      <c r="AB18" s="343" t="s">
        <v>38</v>
      </c>
      <c r="AC18" s="343" t="s">
        <v>37</v>
      </c>
      <c r="AD18" s="343" t="s">
        <v>62</v>
      </c>
    </row>
    <row r="19" spans="1:30" s="39" customFormat="1" x14ac:dyDescent="0.2">
      <c r="A19" s="833" t="s">
        <v>8</v>
      </c>
      <c r="B19" s="834">
        <f>260400+20000</f>
        <v>280400</v>
      </c>
      <c r="C19" s="834">
        <v>10000</v>
      </c>
      <c r="D19" s="834">
        <v>0</v>
      </c>
      <c r="E19" s="834">
        <v>17205</v>
      </c>
      <c r="F19" s="834">
        <v>1760</v>
      </c>
      <c r="G19" s="834">
        <v>0</v>
      </c>
      <c r="H19" s="834">
        <v>0</v>
      </c>
      <c r="I19" s="834">
        <v>0</v>
      </c>
      <c r="J19" s="834">
        <v>1509</v>
      </c>
      <c r="K19" s="30"/>
      <c r="L19" s="206" t="s">
        <v>8</v>
      </c>
      <c r="M19" s="207">
        <v>150000</v>
      </c>
      <c r="N19" s="207">
        <v>0</v>
      </c>
      <c r="O19" s="207">
        <v>0</v>
      </c>
      <c r="P19" s="207">
        <v>0</v>
      </c>
      <c r="Q19" s="207">
        <v>4000</v>
      </c>
      <c r="R19" s="207">
        <v>100000</v>
      </c>
      <c r="S19" s="207">
        <v>0</v>
      </c>
      <c r="T19" s="207">
        <v>0</v>
      </c>
      <c r="U19" s="207">
        <v>0</v>
      </c>
      <c r="W19" s="125" t="s">
        <v>8</v>
      </c>
      <c r="X19" s="126">
        <f>B19+M19</f>
        <v>430400</v>
      </c>
      <c r="Y19" s="126">
        <f t="shared" ref="Y19:Y25" si="9">C19+N19</f>
        <v>10000</v>
      </c>
      <c r="Z19" s="126">
        <f t="shared" ref="Z19:Z25" si="10">D19+O19</f>
        <v>0</v>
      </c>
      <c r="AA19" s="126">
        <f t="shared" ref="AA19:AA25" si="11">E19+P19</f>
        <v>17205</v>
      </c>
      <c r="AB19" s="126">
        <f t="shared" ref="AB19:AB25" si="12">F19+Q19</f>
        <v>5760</v>
      </c>
      <c r="AC19" s="126">
        <f t="shared" ref="AC19:AC25" si="13">G19+R19</f>
        <v>100000</v>
      </c>
      <c r="AD19" s="126">
        <f t="shared" ref="AD19:AD24" si="14">J19+U19</f>
        <v>1509</v>
      </c>
    </row>
    <row r="20" spans="1:30" s="39" customFormat="1" x14ac:dyDescent="0.2">
      <c r="A20" s="833" t="s">
        <v>9</v>
      </c>
      <c r="B20" s="834">
        <v>0</v>
      </c>
      <c r="C20" s="834">
        <v>0</v>
      </c>
      <c r="D20" s="834">
        <v>1970</v>
      </c>
      <c r="E20" s="834">
        <v>5130</v>
      </c>
      <c r="F20" s="834">
        <v>0</v>
      </c>
      <c r="G20" s="891">
        <v>2000</v>
      </c>
      <c r="H20" s="834">
        <v>0</v>
      </c>
      <c r="I20" s="834">
        <v>0</v>
      </c>
      <c r="J20" s="834">
        <v>0</v>
      </c>
      <c r="K20" s="30"/>
      <c r="L20" s="206" t="s">
        <v>9</v>
      </c>
      <c r="M20" s="207">
        <v>200000</v>
      </c>
      <c r="N20" s="207">
        <v>30000</v>
      </c>
      <c r="O20" s="207">
        <v>4000</v>
      </c>
      <c r="P20" s="207">
        <v>0</v>
      </c>
      <c r="Q20" s="207">
        <v>1000</v>
      </c>
      <c r="R20" s="207">
        <v>100000</v>
      </c>
      <c r="S20" s="207">
        <v>0</v>
      </c>
      <c r="T20" s="207">
        <v>0</v>
      </c>
      <c r="U20" s="207">
        <v>0</v>
      </c>
      <c r="W20" s="125" t="s">
        <v>9</v>
      </c>
      <c r="X20" s="126">
        <f t="shared" ref="X20:X23" si="15">B20+M20</f>
        <v>200000</v>
      </c>
      <c r="Y20" s="126">
        <f t="shared" si="9"/>
        <v>30000</v>
      </c>
      <c r="Z20" s="126">
        <f t="shared" si="10"/>
        <v>5970</v>
      </c>
      <c r="AA20" s="126">
        <f t="shared" si="11"/>
        <v>5130</v>
      </c>
      <c r="AB20" s="126">
        <f t="shared" si="12"/>
        <v>1000</v>
      </c>
      <c r="AC20" s="126">
        <f t="shared" si="13"/>
        <v>102000</v>
      </c>
      <c r="AD20" s="126">
        <f t="shared" si="14"/>
        <v>0</v>
      </c>
    </row>
    <row r="21" spans="1:30" s="39" customFormat="1" x14ac:dyDescent="0.2">
      <c r="A21" s="833" t="s">
        <v>11</v>
      </c>
      <c r="B21" s="834">
        <v>0</v>
      </c>
      <c r="C21" s="834">
        <v>5000</v>
      </c>
      <c r="D21" s="834">
        <v>4480</v>
      </c>
      <c r="E21" s="834">
        <v>0</v>
      </c>
      <c r="F21" s="834">
        <f>22-22</f>
        <v>0</v>
      </c>
      <c r="G21" s="834">
        <v>0</v>
      </c>
      <c r="H21" s="834">
        <v>0</v>
      </c>
      <c r="I21" s="834">
        <v>0</v>
      </c>
      <c r="J21" s="834">
        <v>0</v>
      </c>
      <c r="K21" s="30"/>
      <c r="L21" s="206" t="s">
        <v>11</v>
      </c>
      <c r="M21" s="207">
        <v>100000</v>
      </c>
      <c r="N21" s="207">
        <v>7000</v>
      </c>
      <c r="O21" s="207">
        <v>5000</v>
      </c>
      <c r="P21" s="207">
        <v>0</v>
      </c>
      <c r="Q21" s="207">
        <v>1500</v>
      </c>
      <c r="R21" s="207">
        <v>100000</v>
      </c>
      <c r="S21" s="207">
        <v>0</v>
      </c>
      <c r="T21" s="207">
        <v>0</v>
      </c>
      <c r="U21" s="207">
        <v>0</v>
      </c>
      <c r="W21" s="125" t="s">
        <v>11</v>
      </c>
      <c r="X21" s="126">
        <f t="shared" si="15"/>
        <v>100000</v>
      </c>
      <c r="Y21" s="126">
        <f t="shared" si="9"/>
        <v>12000</v>
      </c>
      <c r="Z21" s="126">
        <f t="shared" si="10"/>
        <v>9480</v>
      </c>
      <c r="AA21" s="126">
        <f t="shared" si="11"/>
        <v>0</v>
      </c>
      <c r="AB21" s="126">
        <f t="shared" si="12"/>
        <v>1500</v>
      </c>
      <c r="AC21" s="126">
        <f t="shared" si="13"/>
        <v>100000</v>
      </c>
      <c r="AD21" s="126">
        <f t="shared" si="14"/>
        <v>0</v>
      </c>
    </row>
    <row r="22" spans="1:30" s="39" customFormat="1" x14ac:dyDescent="0.2">
      <c r="A22" s="833" t="s">
        <v>10</v>
      </c>
      <c r="B22" s="834">
        <v>0</v>
      </c>
      <c r="C22" s="834">
        <v>10000</v>
      </c>
      <c r="D22" s="834">
        <f>120+3800</f>
        <v>3920</v>
      </c>
      <c r="E22" s="834">
        <v>0</v>
      </c>
      <c r="F22" s="834">
        <v>0</v>
      </c>
      <c r="G22" s="834">
        <v>0</v>
      </c>
      <c r="H22" s="834">
        <v>0</v>
      </c>
      <c r="I22" s="834">
        <v>0</v>
      </c>
      <c r="J22" s="834">
        <v>0</v>
      </c>
      <c r="K22" s="30"/>
      <c r="L22" s="206" t="s">
        <v>10</v>
      </c>
      <c r="M22" s="207">
        <v>150000</v>
      </c>
      <c r="N22" s="207">
        <v>10000</v>
      </c>
      <c r="O22" s="207">
        <v>7000</v>
      </c>
      <c r="P22" s="207">
        <v>0</v>
      </c>
      <c r="Q22" s="207">
        <v>2000</v>
      </c>
      <c r="R22" s="207">
        <v>100000</v>
      </c>
      <c r="S22" s="207">
        <v>0</v>
      </c>
      <c r="T22" s="207">
        <v>0</v>
      </c>
      <c r="U22" s="207">
        <v>0</v>
      </c>
      <c r="W22" s="125" t="s">
        <v>10</v>
      </c>
      <c r="X22" s="126">
        <f t="shared" si="15"/>
        <v>150000</v>
      </c>
      <c r="Y22" s="126">
        <f t="shared" si="9"/>
        <v>20000</v>
      </c>
      <c r="Z22" s="126">
        <f t="shared" si="10"/>
        <v>10920</v>
      </c>
      <c r="AA22" s="126">
        <f t="shared" si="11"/>
        <v>0</v>
      </c>
      <c r="AB22" s="126">
        <f t="shared" si="12"/>
        <v>2000</v>
      </c>
      <c r="AC22" s="126">
        <f t="shared" si="13"/>
        <v>100000</v>
      </c>
      <c r="AD22" s="126">
        <f t="shared" si="14"/>
        <v>0</v>
      </c>
    </row>
    <row r="23" spans="1:30" s="39" customFormat="1" x14ac:dyDescent="0.2">
      <c r="A23" s="833" t="s">
        <v>12</v>
      </c>
      <c r="B23" s="834">
        <v>0</v>
      </c>
      <c r="C23" s="834">
        <v>42204</v>
      </c>
      <c r="D23" s="834">
        <v>14346</v>
      </c>
      <c r="E23" s="834">
        <v>27</v>
      </c>
      <c r="F23" s="834">
        <v>0</v>
      </c>
      <c r="G23" s="835">
        <v>50200</v>
      </c>
      <c r="H23" s="834">
        <v>0</v>
      </c>
      <c r="I23" s="834">
        <v>0</v>
      </c>
      <c r="J23" s="834">
        <v>924</v>
      </c>
      <c r="K23" s="30"/>
      <c r="L23" s="206" t="s">
        <v>12</v>
      </c>
      <c r="M23" s="207">
        <v>100000</v>
      </c>
      <c r="N23" s="207">
        <v>5000</v>
      </c>
      <c r="O23" s="207">
        <v>5000</v>
      </c>
      <c r="P23" s="207">
        <v>0</v>
      </c>
      <c r="Q23" s="207">
        <v>1500</v>
      </c>
      <c r="R23" s="207">
        <v>100000</v>
      </c>
      <c r="S23" s="207">
        <v>0</v>
      </c>
      <c r="T23" s="207">
        <v>0</v>
      </c>
      <c r="U23" s="207">
        <v>0</v>
      </c>
      <c r="W23" s="125" t="s">
        <v>12</v>
      </c>
      <c r="X23" s="126">
        <f t="shared" si="15"/>
        <v>100000</v>
      </c>
      <c r="Y23" s="126">
        <f t="shared" si="9"/>
        <v>47204</v>
      </c>
      <c r="Z23" s="126">
        <f t="shared" si="10"/>
        <v>19346</v>
      </c>
      <c r="AA23" s="126">
        <f t="shared" si="11"/>
        <v>27</v>
      </c>
      <c r="AB23" s="126">
        <f t="shared" si="12"/>
        <v>1500</v>
      </c>
      <c r="AC23" s="126">
        <f t="shared" si="13"/>
        <v>150200</v>
      </c>
      <c r="AD23" s="126">
        <f t="shared" si="14"/>
        <v>924</v>
      </c>
    </row>
    <row r="24" spans="1:30" s="123" customFormat="1" x14ac:dyDescent="0.2">
      <c r="A24" s="829" t="s">
        <v>13</v>
      </c>
      <c r="B24" s="836">
        <f t="shared" ref="B24" si="16">SUM(B19:B23)</f>
        <v>280400</v>
      </c>
      <c r="C24" s="836">
        <f>SUM(C19:C23)</f>
        <v>67204</v>
      </c>
      <c r="D24" s="836">
        <f t="shared" ref="D24:G24" si="17">SUM(D19:D23)</f>
        <v>24716</v>
      </c>
      <c r="E24" s="836">
        <f t="shared" si="17"/>
        <v>22362</v>
      </c>
      <c r="F24" s="836">
        <f t="shared" si="17"/>
        <v>1760</v>
      </c>
      <c r="G24" s="836">
        <f t="shared" si="17"/>
        <v>52200</v>
      </c>
      <c r="H24" s="836">
        <v>0</v>
      </c>
      <c r="I24" s="836">
        <v>0</v>
      </c>
      <c r="J24" s="836">
        <f>SUM(J19:J23)</f>
        <v>2433</v>
      </c>
      <c r="K24" s="30"/>
      <c r="L24" s="287" t="s">
        <v>13</v>
      </c>
      <c r="M24" s="836">
        <f>SUM(M19:M23)</f>
        <v>700000</v>
      </c>
      <c r="N24" s="836">
        <f>SUM(N19:N23)</f>
        <v>52000</v>
      </c>
      <c r="O24" s="836">
        <f t="shared" ref="O24:U24" si="18">SUM(O19:O23)</f>
        <v>21000</v>
      </c>
      <c r="P24" s="836">
        <f t="shared" si="18"/>
        <v>0</v>
      </c>
      <c r="Q24" s="836">
        <f t="shared" si="18"/>
        <v>10000</v>
      </c>
      <c r="R24" s="836">
        <f t="shared" si="18"/>
        <v>500000</v>
      </c>
      <c r="S24" s="836">
        <f t="shared" si="18"/>
        <v>0</v>
      </c>
      <c r="T24" s="836">
        <f t="shared" si="18"/>
        <v>0</v>
      </c>
      <c r="U24" s="836">
        <f t="shared" si="18"/>
        <v>0</v>
      </c>
      <c r="W24" s="288" t="s">
        <v>13</v>
      </c>
      <c r="X24" s="289">
        <f>B24+M24</f>
        <v>980400</v>
      </c>
      <c r="Y24" s="289">
        <f t="shared" si="9"/>
        <v>119204</v>
      </c>
      <c r="Z24" s="289">
        <f t="shared" si="10"/>
        <v>45716</v>
      </c>
      <c r="AA24" s="289">
        <f t="shared" si="11"/>
        <v>22362</v>
      </c>
      <c r="AB24" s="289">
        <f t="shared" si="12"/>
        <v>11760</v>
      </c>
      <c r="AC24" s="289">
        <f t="shared" si="13"/>
        <v>552200</v>
      </c>
      <c r="AD24" s="289">
        <f t="shared" si="14"/>
        <v>2433</v>
      </c>
    </row>
    <row r="25" spans="1:30" s="291" customFormat="1" x14ac:dyDescent="0.2">
      <c r="A25" s="829" t="s">
        <v>14</v>
      </c>
      <c r="B25" s="290">
        <v>0</v>
      </c>
      <c r="C25" s="290">
        <v>0</v>
      </c>
      <c r="D25" s="290">
        <v>0</v>
      </c>
      <c r="E25" s="290">
        <v>0</v>
      </c>
      <c r="F25" s="830">
        <v>0</v>
      </c>
      <c r="G25" s="290">
        <v>0</v>
      </c>
      <c r="H25" s="830">
        <v>0</v>
      </c>
      <c r="I25" s="830">
        <v>0</v>
      </c>
      <c r="J25" s="830">
        <v>0</v>
      </c>
      <c r="K25" s="30"/>
      <c r="L25" s="829" t="s">
        <v>14</v>
      </c>
      <c r="M25" s="830">
        <v>0</v>
      </c>
      <c r="N25" s="830">
        <v>0</v>
      </c>
      <c r="O25" s="830">
        <v>0</v>
      </c>
      <c r="P25" s="830">
        <v>0</v>
      </c>
      <c r="Q25" s="830">
        <v>0</v>
      </c>
      <c r="R25" s="830">
        <v>0</v>
      </c>
      <c r="S25" s="830">
        <v>0</v>
      </c>
      <c r="T25" s="830">
        <v>0</v>
      </c>
      <c r="U25" s="830">
        <v>0</v>
      </c>
      <c r="W25" s="288" t="s">
        <v>14</v>
      </c>
      <c r="X25" s="289">
        <f>B25+M25</f>
        <v>0</v>
      </c>
      <c r="Y25" s="289">
        <f t="shared" si="9"/>
        <v>0</v>
      </c>
      <c r="Z25" s="289">
        <f t="shared" si="10"/>
        <v>0</v>
      </c>
      <c r="AA25" s="289">
        <f t="shared" si="11"/>
        <v>0</v>
      </c>
      <c r="AB25" s="289">
        <f t="shared" si="12"/>
        <v>0</v>
      </c>
      <c r="AC25" s="289">
        <f t="shared" si="13"/>
        <v>0</v>
      </c>
      <c r="AD25" s="289">
        <f t="shared" ref="AD25" si="19">H25+S25</f>
        <v>0</v>
      </c>
    </row>
    <row r="26" spans="1:30" s="40" customFormat="1" x14ac:dyDescent="0.2">
      <c r="A26" s="827" t="s">
        <v>15</v>
      </c>
      <c r="B26" s="828">
        <f>B25+B24</f>
        <v>280400</v>
      </c>
      <c r="C26" s="828">
        <f t="shared" ref="C26:J26" si="20">C25+C24</f>
        <v>67204</v>
      </c>
      <c r="D26" s="828">
        <f t="shared" si="20"/>
        <v>24716</v>
      </c>
      <c r="E26" s="828">
        <f t="shared" si="20"/>
        <v>22362</v>
      </c>
      <c r="F26" s="828">
        <f t="shared" si="20"/>
        <v>1760</v>
      </c>
      <c r="G26" s="828">
        <f t="shared" si="20"/>
        <v>52200</v>
      </c>
      <c r="H26" s="828">
        <f t="shared" si="20"/>
        <v>0</v>
      </c>
      <c r="I26" s="828">
        <f t="shared" si="20"/>
        <v>0</v>
      </c>
      <c r="J26" s="828">
        <f t="shared" si="20"/>
        <v>2433</v>
      </c>
      <c r="K26" s="30"/>
      <c r="L26" s="827" t="s">
        <v>15</v>
      </c>
      <c r="M26" s="828">
        <f t="shared" ref="M26:U26" si="21">M24+M25</f>
        <v>700000</v>
      </c>
      <c r="N26" s="828">
        <f t="shared" si="21"/>
        <v>52000</v>
      </c>
      <c r="O26" s="828">
        <f t="shared" si="21"/>
        <v>21000</v>
      </c>
      <c r="P26" s="828">
        <f t="shared" si="21"/>
        <v>0</v>
      </c>
      <c r="Q26" s="828">
        <f t="shared" si="21"/>
        <v>10000</v>
      </c>
      <c r="R26" s="828">
        <f t="shared" si="21"/>
        <v>500000</v>
      </c>
      <c r="S26" s="828">
        <f t="shared" si="21"/>
        <v>0</v>
      </c>
      <c r="T26" s="828">
        <f t="shared" si="21"/>
        <v>0</v>
      </c>
      <c r="U26" s="828">
        <f t="shared" si="21"/>
        <v>0</v>
      </c>
      <c r="W26" s="344" t="s">
        <v>15</v>
      </c>
      <c r="X26" s="41">
        <f t="shared" ref="X26" si="22">X24+X25</f>
        <v>980400</v>
      </c>
      <c r="Y26" s="41">
        <f>Y24+Y25</f>
        <v>119204</v>
      </c>
      <c r="Z26" s="41">
        <f t="shared" ref="Z26:AD26" si="23">Z24+Z25</f>
        <v>45716</v>
      </c>
      <c r="AA26" s="41">
        <f t="shared" si="23"/>
        <v>22362</v>
      </c>
      <c r="AB26" s="41">
        <f t="shared" si="23"/>
        <v>11760</v>
      </c>
      <c r="AC26" s="41">
        <f t="shared" si="23"/>
        <v>552200</v>
      </c>
      <c r="AD26" s="41">
        <f t="shared" si="23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zoomScale="82" zoomScaleNormal="82" workbookViewId="0">
      <selection activeCell="E19" sqref="E19"/>
    </sheetView>
  </sheetViews>
  <sheetFormatPr defaultColWidth="9.140625" defaultRowHeight="15" x14ac:dyDescent="0.25"/>
  <cols>
    <col min="1" max="1" width="14.42578125" style="262" customWidth="1"/>
    <col min="2" max="2" width="12.140625" style="244" customWidth="1"/>
    <col min="3" max="3" width="12.28515625" style="262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5" customWidth="1"/>
    <col min="9" max="9" width="11.85546875" style="276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1272" t="s">
        <v>124</v>
      </c>
      <c r="C2" s="1273"/>
      <c r="D2" s="1273"/>
      <c r="E2" s="1273"/>
      <c r="F2" s="1273"/>
      <c r="G2" s="1273"/>
      <c r="H2" s="1273"/>
      <c r="I2" s="1273"/>
      <c r="J2" s="1273"/>
      <c r="K2" s="1273"/>
      <c r="L2" s="1273"/>
      <c r="M2" s="1274"/>
    </row>
    <row r="3" spans="1:16" x14ac:dyDescent="0.25">
      <c r="A3" s="263"/>
      <c r="B3" s="248"/>
      <c r="M3" s="246"/>
    </row>
    <row r="4" spans="1:16" ht="15.75" thickBot="1" x14ac:dyDescent="0.3">
      <c r="A4" s="264"/>
      <c r="B4" s="266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6"/>
    </row>
    <row r="5" spans="1:16" x14ac:dyDescent="0.25">
      <c r="A5" s="1293" t="s">
        <v>116</v>
      </c>
      <c r="B5" s="1275" t="s">
        <v>110</v>
      </c>
      <c r="C5" s="1277" t="s">
        <v>112</v>
      </c>
      <c r="D5" s="1279" t="s">
        <v>30</v>
      </c>
      <c r="E5" s="1281" t="s">
        <v>90</v>
      </c>
      <c r="F5" s="1281" t="s">
        <v>91</v>
      </c>
      <c r="G5" s="1281" t="s">
        <v>92</v>
      </c>
      <c r="H5" s="1281" t="s">
        <v>93</v>
      </c>
      <c r="I5" s="1283" t="s">
        <v>94</v>
      </c>
      <c r="J5" s="1285" t="s">
        <v>46</v>
      </c>
      <c r="K5" s="204" t="s">
        <v>95</v>
      </c>
      <c r="L5" s="205" t="s">
        <v>97</v>
      </c>
      <c r="M5" s="1270" t="s">
        <v>111</v>
      </c>
    </row>
    <row r="6" spans="1:16" ht="24.75" customHeight="1" thickBot="1" x14ac:dyDescent="0.3">
      <c r="A6" s="1294"/>
      <c r="B6" s="1276"/>
      <c r="C6" s="1278"/>
      <c r="D6" s="1280"/>
      <c r="E6" s="1282"/>
      <c r="F6" s="1282"/>
      <c r="G6" s="1282"/>
      <c r="H6" s="1282"/>
      <c r="I6" s="1284"/>
      <c r="J6" s="1286"/>
      <c r="K6" s="202" t="s">
        <v>96</v>
      </c>
      <c r="L6" s="203" t="s">
        <v>95</v>
      </c>
      <c r="M6" s="1271"/>
    </row>
    <row r="7" spans="1:16" ht="15.75" thickBot="1" x14ac:dyDescent="0.3">
      <c r="A7" s="255">
        <v>1206</v>
      </c>
      <c r="B7" s="259">
        <v>4227</v>
      </c>
      <c r="C7" s="267" t="s">
        <v>109</v>
      </c>
      <c r="D7" s="269">
        <v>212500</v>
      </c>
      <c r="E7" s="256">
        <v>0</v>
      </c>
      <c r="F7" s="256">
        <v>0</v>
      </c>
      <c r="G7" s="256">
        <v>0</v>
      </c>
      <c r="H7" s="256">
        <v>0</v>
      </c>
      <c r="I7" s="277">
        <f t="shared" ref="I7:I25" si="0">SUM(E7:H7)</f>
        <v>0</v>
      </c>
      <c r="J7" s="270">
        <v>0</v>
      </c>
      <c r="K7" s="249">
        <v>44197</v>
      </c>
      <c r="L7" s="250">
        <v>44409</v>
      </c>
      <c r="M7" s="251" t="s">
        <v>107</v>
      </c>
    </row>
    <row r="8" spans="1:16" x14ac:dyDescent="0.25">
      <c r="A8" s="255">
        <v>12087</v>
      </c>
      <c r="B8" s="260">
        <v>4159</v>
      </c>
      <c r="C8" s="267" t="s">
        <v>109</v>
      </c>
      <c r="D8" s="271">
        <v>0</v>
      </c>
      <c r="E8" s="257">
        <v>16650</v>
      </c>
      <c r="F8" s="257">
        <v>22500</v>
      </c>
      <c r="G8" s="257">
        <v>19800</v>
      </c>
      <c r="H8" s="257">
        <v>49500</v>
      </c>
      <c r="I8" s="277">
        <f>SUM(E8:H8)</f>
        <v>108450</v>
      </c>
      <c r="J8" s="272">
        <v>0</v>
      </c>
      <c r="K8" s="253"/>
      <c r="L8" s="254"/>
      <c r="M8" s="234"/>
    </row>
    <row r="9" spans="1:16" x14ac:dyDescent="0.25">
      <c r="A9" s="265">
        <v>11402</v>
      </c>
      <c r="B9" s="259">
        <v>4107</v>
      </c>
      <c r="C9" s="267" t="s">
        <v>113</v>
      </c>
      <c r="D9" s="271">
        <v>0</v>
      </c>
      <c r="E9" s="257">
        <v>0</v>
      </c>
      <c r="F9" s="257">
        <v>0</v>
      </c>
      <c r="G9" s="257">
        <v>0</v>
      </c>
      <c r="H9" s="257">
        <v>0</v>
      </c>
      <c r="I9" s="277">
        <f t="shared" si="0"/>
        <v>0</v>
      </c>
      <c r="J9" s="273">
        <v>8000000</v>
      </c>
      <c r="K9" s="253"/>
      <c r="L9" s="254"/>
      <c r="M9" s="232" t="s">
        <v>115</v>
      </c>
    </row>
    <row r="10" spans="1:16" x14ac:dyDescent="0.25">
      <c r="A10" s="282">
        <v>12227</v>
      </c>
      <c r="B10" s="283">
        <v>4385</v>
      </c>
      <c r="C10" s="267" t="s">
        <v>113</v>
      </c>
      <c r="D10" s="271">
        <v>800000</v>
      </c>
      <c r="E10" s="280">
        <v>0</v>
      </c>
      <c r="F10" s="280">
        <v>0</v>
      </c>
      <c r="G10" s="280">
        <v>0</v>
      </c>
      <c r="H10" s="280">
        <v>0</v>
      </c>
      <c r="I10" s="277">
        <f t="shared" si="0"/>
        <v>0</v>
      </c>
      <c r="J10" s="273">
        <v>0</v>
      </c>
      <c r="K10" s="253">
        <v>44228</v>
      </c>
      <c r="L10" s="254">
        <v>44470</v>
      </c>
      <c r="M10" s="281" t="s">
        <v>119</v>
      </c>
    </row>
    <row r="11" spans="1:16" x14ac:dyDescent="0.25">
      <c r="A11" s="255">
        <v>12260</v>
      </c>
      <c r="B11" s="260">
        <v>4327</v>
      </c>
      <c r="C11" s="267" t="s">
        <v>113</v>
      </c>
      <c r="D11" s="274">
        <v>0</v>
      </c>
      <c r="E11" s="257">
        <v>21000</v>
      </c>
      <c r="F11" s="257">
        <v>72000</v>
      </c>
      <c r="G11" s="257">
        <v>30000</v>
      </c>
      <c r="H11" s="257">
        <v>261000</v>
      </c>
      <c r="I11" s="277">
        <f>SUM(E11:H11)</f>
        <v>384000</v>
      </c>
      <c r="J11" s="273">
        <v>0</v>
      </c>
      <c r="K11" s="258">
        <v>44228</v>
      </c>
      <c r="L11" s="254">
        <v>44440</v>
      </c>
      <c r="M11" s="252" t="s">
        <v>114</v>
      </c>
    </row>
    <row r="12" spans="1:16" x14ac:dyDescent="0.25">
      <c r="A12" s="315">
        <v>12719</v>
      </c>
      <c r="B12" s="283">
        <v>4899</v>
      </c>
      <c r="C12" s="267" t="s">
        <v>113</v>
      </c>
      <c r="D12" s="271">
        <v>800000</v>
      </c>
      <c r="E12" s="257">
        <v>0</v>
      </c>
      <c r="F12" s="257">
        <v>0</v>
      </c>
      <c r="G12" s="257">
        <v>0</v>
      </c>
      <c r="H12" s="257">
        <v>0</v>
      </c>
      <c r="I12" s="257">
        <f t="shared" si="0"/>
        <v>0</v>
      </c>
      <c r="J12" s="272">
        <v>0</v>
      </c>
      <c r="K12" s="253">
        <v>44378</v>
      </c>
      <c r="L12" s="254">
        <v>44531</v>
      </c>
      <c r="M12" s="281" t="s">
        <v>147</v>
      </c>
    </row>
    <row r="13" spans="1:16" x14ac:dyDescent="0.25">
      <c r="A13" s="315">
        <v>13964</v>
      </c>
      <c r="B13" s="283">
        <v>4898</v>
      </c>
      <c r="C13" s="267" t="s">
        <v>113</v>
      </c>
      <c r="D13" s="339">
        <v>0</v>
      </c>
      <c r="E13" s="257">
        <v>0</v>
      </c>
      <c r="F13" s="257">
        <v>0</v>
      </c>
      <c r="G13" s="257">
        <v>0</v>
      </c>
      <c r="H13" s="340">
        <v>0</v>
      </c>
      <c r="I13" s="257">
        <f t="shared" si="0"/>
        <v>0</v>
      </c>
      <c r="J13" s="272">
        <v>9000000</v>
      </c>
      <c r="K13" s="253">
        <v>44378</v>
      </c>
      <c r="L13" s="254">
        <v>44531</v>
      </c>
      <c r="M13" s="341" t="s">
        <v>121</v>
      </c>
    </row>
    <row r="14" spans="1:16" x14ac:dyDescent="0.25">
      <c r="A14" s="315">
        <v>13965</v>
      </c>
      <c r="B14" s="283">
        <v>4897</v>
      </c>
      <c r="C14" s="267" t="s">
        <v>113</v>
      </c>
      <c r="D14" s="271">
        <v>0</v>
      </c>
      <c r="E14" s="257">
        <v>78000</v>
      </c>
      <c r="F14" s="257">
        <v>120000</v>
      </c>
      <c r="G14" s="257">
        <v>75000</v>
      </c>
      <c r="H14" s="257">
        <v>180000</v>
      </c>
      <c r="I14" s="277">
        <f t="shared" si="0"/>
        <v>453000</v>
      </c>
      <c r="J14" s="272">
        <v>0</v>
      </c>
      <c r="K14" s="253">
        <v>44378</v>
      </c>
      <c r="L14" s="254">
        <v>44531</v>
      </c>
      <c r="M14" s="281" t="s">
        <v>122</v>
      </c>
    </row>
    <row r="15" spans="1:16" s="124" customFormat="1" x14ac:dyDescent="0.25">
      <c r="A15" s="315">
        <v>15627</v>
      </c>
      <c r="B15" s="316"/>
      <c r="C15" s="317" t="s">
        <v>113</v>
      </c>
      <c r="D15" s="312">
        <v>0</v>
      </c>
      <c r="E15" s="318">
        <v>81000</v>
      </c>
      <c r="F15" s="318">
        <v>126000</v>
      </c>
      <c r="G15" s="318">
        <v>102000</v>
      </c>
      <c r="H15" s="318">
        <v>126000</v>
      </c>
      <c r="I15" s="318">
        <f t="shared" si="0"/>
        <v>435000</v>
      </c>
      <c r="J15" s="319">
        <v>0</v>
      </c>
      <c r="K15" s="320">
        <v>44470</v>
      </c>
      <c r="L15" s="321">
        <v>44621</v>
      </c>
      <c r="M15" s="322" t="s">
        <v>146</v>
      </c>
      <c r="P15" s="124">
        <f>425000/25</f>
        <v>17000</v>
      </c>
    </row>
    <row r="16" spans="1:16" s="124" customFormat="1" x14ac:dyDescent="0.25">
      <c r="A16" s="315">
        <v>15628</v>
      </c>
      <c r="B16" s="316"/>
      <c r="C16" s="317" t="s">
        <v>113</v>
      </c>
      <c r="D16" s="312">
        <v>900000</v>
      </c>
      <c r="E16" s="318">
        <v>0</v>
      </c>
      <c r="F16" s="318">
        <v>0</v>
      </c>
      <c r="G16" s="318">
        <v>0</v>
      </c>
      <c r="H16" s="318">
        <v>0</v>
      </c>
      <c r="I16" s="318">
        <f t="shared" si="0"/>
        <v>0</v>
      </c>
      <c r="J16" s="319">
        <v>0</v>
      </c>
      <c r="K16" s="320">
        <v>44470</v>
      </c>
      <c r="L16" s="321">
        <v>44621</v>
      </c>
      <c r="M16" s="323" t="s">
        <v>148</v>
      </c>
    </row>
    <row r="17" spans="1:16" s="6" customFormat="1" x14ac:dyDescent="0.25">
      <c r="A17" s="315">
        <v>15629</v>
      </c>
      <c r="B17" s="316"/>
      <c r="C17" s="317" t="s">
        <v>113</v>
      </c>
      <c r="D17" s="312">
        <v>840000</v>
      </c>
      <c r="E17" s="318">
        <v>0</v>
      </c>
      <c r="F17" s="318">
        <v>0</v>
      </c>
      <c r="G17" s="318">
        <v>0</v>
      </c>
      <c r="H17" s="318">
        <v>0</v>
      </c>
      <c r="I17" s="318">
        <f t="shared" si="0"/>
        <v>0</v>
      </c>
      <c r="J17" s="319">
        <v>0</v>
      </c>
      <c r="K17" s="320">
        <v>44470</v>
      </c>
      <c r="L17" s="321">
        <v>44743</v>
      </c>
      <c r="M17" s="322" t="s">
        <v>150</v>
      </c>
    </row>
    <row r="18" spans="1:16" s="324" customFormat="1" x14ac:dyDescent="0.25">
      <c r="A18" s="325">
        <v>15784</v>
      </c>
      <c r="B18" s="326"/>
      <c r="C18" s="327" t="s">
        <v>113</v>
      </c>
      <c r="D18" s="328">
        <v>0</v>
      </c>
      <c r="E18" s="329">
        <v>72000</v>
      </c>
      <c r="F18" s="329">
        <v>138000</v>
      </c>
      <c r="G18" s="329">
        <v>78000</v>
      </c>
      <c r="H18" s="329">
        <v>141000</v>
      </c>
      <c r="I18" s="329">
        <f t="shared" si="0"/>
        <v>429000</v>
      </c>
      <c r="J18" s="330">
        <v>0</v>
      </c>
      <c r="K18" s="331">
        <v>44470</v>
      </c>
      <c r="L18" s="332">
        <v>44743</v>
      </c>
      <c r="M18" s="333" t="s">
        <v>154</v>
      </c>
    </row>
    <row r="19" spans="1:16" s="324" customFormat="1" x14ac:dyDescent="0.25">
      <c r="A19" s="325"/>
      <c r="B19" s="326"/>
      <c r="C19" s="327"/>
      <c r="D19" s="328"/>
      <c r="E19" s="334">
        <v>72000</v>
      </c>
      <c r="F19" s="334">
        <v>137700</v>
      </c>
      <c r="G19" s="334">
        <v>77190</v>
      </c>
      <c r="H19" s="334">
        <v>140730</v>
      </c>
      <c r="I19" s="334">
        <f t="shared" si="0"/>
        <v>427620</v>
      </c>
      <c r="J19" s="335"/>
      <c r="K19" s="336" t="s">
        <v>155</v>
      </c>
      <c r="L19" s="337"/>
      <c r="M19" s="338"/>
    </row>
    <row r="20" spans="1:16" x14ac:dyDescent="0.25">
      <c r="A20" s="406">
        <v>15789</v>
      </c>
      <c r="B20" s="407">
        <v>6557</v>
      </c>
      <c r="C20" s="408" t="s">
        <v>113</v>
      </c>
      <c r="D20" s="409">
        <v>900000</v>
      </c>
      <c r="E20" s="410">
        <v>0</v>
      </c>
      <c r="F20" s="410">
        <v>0</v>
      </c>
      <c r="G20" s="410">
        <v>0</v>
      </c>
      <c r="H20" s="410">
        <v>0</v>
      </c>
      <c r="I20" s="410">
        <f t="shared" si="0"/>
        <v>0</v>
      </c>
      <c r="J20" s="411">
        <v>0</v>
      </c>
      <c r="K20" s="412">
        <v>44621</v>
      </c>
      <c r="L20" s="413">
        <v>44835</v>
      </c>
      <c r="M20" s="414" t="s">
        <v>173</v>
      </c>
    </row>
    <row r="21" spans="1:16" x14ac:dyDescent="0.25">
      <c r="A21" s="391">
        <v>17800</v>
      </c>
      <c r="B21" s="392">
        <v>6478</v>
      </c>
      <c r="C21" s="393" t="s">
        <v>113</v>
      </c>
      <c r="D21" s="394">
        <v>0</v>
      </c>
      <c r="E21" s="395">
        <v>13200</v>
      </c>
      <c r="F21" s="395">
        <v>99000</v>
      </c>
      <c r="G21" s="395">
        <v>51000</v>
      </c>
      <c r="H21" s="395">
        <v>159000</v>
      </c>
      <c r="I21" s="395">
        <f t="shared" si="0"/>
        <v>322200</v>
      </c>
      <c r="J21" s="396">
        <v>0</v>
      </c>
      <c r="K21" s="397">
        <v>44621</v>
      </c>
      <c r="L21" s="398">
        <v>44835</v>
      </c>
      <c r="M21" s="399" t="s">
        <v>170</v>
      </c>
    </row>
    <row r="22" spans="1:16" x14ac:dyDescent="0.25">
      <c r="A22" s="391">
        <v>17800</v>
      </c>
      <c r="B22" s="392">
        <v>6478</v>
      </c>
      <c r="C22" s="393" t="s">
        <v>113</v>
      </c>
      <c r="D22" s="394">
        <v>0</v>
      </c>
      <c r="E22" s="395">
        <v>0</v>
      </c>
      <c r="F22" s="395">
        <v>0</v>
      </c>
      <c r="G22" s="395">
        <v>0</v>
      </c>
      <c r="H22" s="395">
        <v>0</v>
      </c>
      <c r="I22" s="395">
        <f t="shared" si="0"/>
        <v>0</v>
      </c>
      <c r="J22" s="396">
        <v>7500000</v>
      </c>
      <c r="K22" s="397">
        <v>44621</v>
      </c>
      <c r="L22" s="398">
        <v>44835</v>
      </c>
      <c r="M22" s="399" t="s">
        <v>171</v>
      </c>
    </row>
    <row r="23" spans="1:16" x14ac:dyDescent="0.25">
      <c r="A23" s="406">
        <v>17802</v>
      </c>
      <c r="B23" s="407"/>
      <c r="C23" s="408" t="s">
        <v>113</v>
      </c>
      <c r="D23" s="409" t="s">
        <v>159</v>
      </c>
      <c r="E23" s="410">
        <v>0</v>
      </c>
      <c r="F23" s="410">
        <v>0</v>
      </c>
      <c r="G23" s="410">
        <v>0</v>
      </c>
      <c r="H23" s="410">
        <v>0</v>
      </c>
      <c r="I23" s="410">
        <f t="shared" si="0"/>
        <v>0</v>
      </c>
      <c r="J23" s="411">
        <v>900000</v>
      </c>
      <c r="K23" s="412">
        <v>44682</v>
      </c>
      <c r="L23" s="413">
        <v>44927</v>
      </c>
      <c r="M23" s="443" t="s">
        <v>185</v>
      </c>
    </row>
    <row r="24" spans="1:16" x14ac:dyDescent="0.25">
      <c r="A24" s="406">
        <v>18464</v>
      </c>
      <c r="B24" s="407"/>
      <c r="C24" s="408" t="s">
        <v>113</v>
      </c>
      <c r="D24" s="409"/>
      <c r="E24" s="410">
        <v>72000</v>
      </c>
      <c r="F24" s="410">
        <v>90000</v>
      </c>
      <c r="G24" s="410">
        <v>39000</v>
      </c>
      <c r="H24" s="410">
        <v>198000</v>
      </c>
      <c r="I24" s="410">
        <f t="shared" si="0"/>
        <v>399000</v>
      </c>
      <c r="J24" s="411"/>
      <c r="K24" s="412">
        <v>44682</v>
      </c>
      <c r="L24" s="413">
        <v>44969</v>
      </c>
      <c r="M24" s="443" t="s">
        <v>186</v>
      </c>
    </row>
    <row r="25" spans="1:16" x14ac:dyDescent="0.25">
      <c r="A25" s="406">
        <v>20156</v>
      </c>
      <c r="B25" s="407">
        <v>7313</v>
      </c>
      <c r="C25" s="408" t="s">
        <v>113</v>
      </c>
      <c r="D25" s="409"/>
      <c r="E25" s="410">
        <v>147000</v>
      </c>
      <c r="F25" s="410">
        <v>262800</v>
      </c>
      <c r="G25" s="410">
        <v>206100</v>
      </c>
      <c r="H25" s="410">
        <v>578400</v>
      </c>
      <c r="I25" s="410">
        <f t="shared" si="0"/>
        <v>1194300</v>
      </c>
      <c r="J25" s="411"/>
      <c r="K25" s="412">
        <v>44853</v>
      </c>
      <c r="L25" s="412">
        <v>45077</v>
      </c>
      <c r="M25" s="443" t="s">
        <v>190</v>
      </c>
    </row>
    <row r="26" spans="1:16" x14ac:dyDescent="0.25">
      <c r="A26" s="406">
        <v>20040</v>
      </c>
      <c r="B26" s="407">
        <v>7341</v>
      </c>
      <c r="C26" s="408" t="s">
        <v>113</v>
      </c>
      <c r="D26" s="409">
        <v>1218750</v>
      </c>
      <c r="E26" s="410"/>
      <c r="F26" s="410"/>
      <c r="G26" s="410"/>
      <c r="H26" s="410"/>
      <c r="I26" s="410"/>
      <c r="J26" s="411"/>
      <c r="K26" s="412">
        <v>44853</v>
      </c>
      <c r="L26" s="412">
        <v>45047</v>
      </c>
      <c r="M26" s="443" t="s">
        <v>190</v>
      </c>
    </row>
    <row r="27" spans="1:16" ht="14.25" customHeight="1" x14ac:dyDescent="0.25">
      <c r="A27" s="406">
        <v>23273</v>
      </c>
      <c r="B27" s="892">
        <v>9747</v>
      </c>
      <c r="C27" s="408" t="s">
        <v>113</v>
      </c>
      <c r="D27" s="409"/>
      <c r="E27" s="410">
        <v>0</v>
      </c>
      <c r="F27" s="410">
        <v>120000</v>
      </c>
      <c r="G27" s="410">
        <v>108000</v>
      </c>
      <c r="H27" s="410">
        <v>522000</v>
      </c>
      <c r="I27" s="410">
        <f>SUM(E27:H27)</f>
        <v>750000</v>
      </c>
      <c r="J27" s="411"/>
      <c r="K27" s="412">
        <v>45253</v>
      </c>
      <c r="L27" s="412">
        <v>45473</v>
      </c>
      <c r="M27" s="893" t="s">
        <v>369</v>
      </c>
    </row>
    <row r="28" spans="1:16" ht="14.25" customHeight="1" x14ac:dyDescent="0.25">
      <c r="A28" s="406">
        <v>24360</v>
      </c>
      <c r="B28" s="892">
        <v>9017</v>
      </c>
      <c r="C28" s="408" t="s">
        <v>113</v>
      </c>
      <c r="D28" s="409">
        <v>750000</v>
      </c>
      <c r="E28" s="410">
        <v>0</v>
      </c>
      <c r="F28" s="410">
        <v>0</v>
      </c>
      <c r="G28" s="410">
        <v>0</v>
      </c>
      <c r="H28" s="410">
        <v>0</v>
      </c>
      <c r="I28" s="410">
        <v>0</v>
      </c>
      <c r="J28" s="411">
        <v>0</v>
      </c>
      <c r="K28" s="412">
        <v>45280</v>
      </c>
      <c r="L28" s="412">
        <v>45535</v>
      </c>
      <c r="M28" s="893" t="s">
        <v>370</v>
      </c>
    </row>
    <row r="29" spans="1:16" ht="14.25" customHeight="1" x14ac:dyDescent="0.25">
      <c r="A29" s="939">
        <v>24591</v>
      </c>
      <c r="B29" s="940">
        <v>9370</v>
      </c>
      <c r="C29" s="941" t="s">
        <v>113</v>
      </c>
      <c r="D29" s="942"/>
      <c r="E29" s="943">
        <v>33300</v>
      </c>
      <c r="F29" s="943">
        <v>45000</v>
      </c>
      <c r="G29" s="943">
        <v>39600</v>
      </c>
      <c r="H29" s="943">
        <v>99000</v>
      </c>
      <c r="I29" s="943">
        <f>SUM(E29:H29)</f>
        <v>216900</v>
      </c>
      <c r="J29" s="944"/>
      <c r="K29" s="945">
        <v>45391</v>
      </c>
      <c r="L29" s="945">
        <v>45565</v>
      </c>
      <c r="M29" s="946" t="s">
        <v>529</v>
      </c>
      <c r="O29" s="298">
        <f>E29+F29+G29+H29</f>
        <v>216900</v>
      </c>
      <c r="P29" s="298">
        <f>D28/25</f>
        <v>30000</v>
      </c>
    </row>
    <row r="30" spans="1:16" ht="14.25" customHeight="1" x14ac:dyDescent="0.25">
      <c r="A30" s="406">
        <v>25442</v>
      </c>
      <c r="B30" s="894">
        <v>9411</v>
      </c>
      <c r="C30" s="408" t="s">
        <v>113</v>
      </c>
      <c r="D30" s="409"/>
      <c r="E30" s="410">
        <v>30000</v>
      </c>
      <c r="F30" s="410">
        <v>171000</v>
      </c>
      <c r="G30" s="410">
        <v>33000</v>
      </c>
      <c r="H30" s="410">
        <v>282000</v>
      </c>
      <c r="I30" s="410">
        <f>SUM(E30:H30)</f>
        <v>516000</v>
      </c>
      <c r="J30" s="411"/>
      <c r="K30" s="412">
        <v>45398</v>
      </c>
      <c r="L30" s="412">
        <v>45565</v>
      </c>
      <c r="M30" s="893" t="s">
        <v>370</v>
      </c>
      <c r="O30" s="298">
        <f>O29/30</f>
        <v>7230</v>
      </c>
    </row>
    <row r="31" spans="1:16" ht="14.25" customHeight="1" x14ac:dyDescent="0.25">
      <c r="A31" s="406">
        <v>25441</v>
      </c>
      <c r="B31" s="894">
        <v>9540</v>
      </c>
      <c r="C31" s="408" t="s">
        <v>113</v>
      </c>
      <c r="D31" s="409">
        <v>425000</v>
      </c>
      <c r="E31" s="410">
        <v>0</v>
      </c>
      <c r="F31" s="410">
        <v>0</v>
      </c>
      <c r="G31" s="410">
        <v>0</v>
      </c>
      <c r="H31" s="410">
        <v>0</v>
      </c>
      <c r="I31" s="410">
        <f>SUM(E31:H31)</f>
        <v>0</v>
      </c>
      <c r="J31" s="411"/>
      <c r="K31" s="412">
        <v>45499</v>
      </c>
      <c r="L31" s="412">
        <v>45626</v>
      </c>
      <c r="M31" s="893" t="s">
        <v>528</v>
      </c>
    </row>
    <row r="32" spans="1:16" ht="14.25" customHeight="1" x14ac:dyDescent="0.25">
      <c r="A32" s="406"/>
      <c r="B32" s="894"/>
      <c r="C32" s="408" t="s">
        <v>113</v>
      </c>
      <c r="D32" s="409"/>
      <c r="E32" s="410">
        <v>102000</v>
      </c>
      <c r="F32" s="410">
        <v>330000</v>
      </c>
      <c r="G32" s="410">
        <v>120000</v>
      </c>
      <c r="H32" s="410">
        <v>381000</v>
      </c>
      <c r="I32" s="410">
        <f>SUM(E32:H32)</f>
        <v>933000</v>
      </c>
      <c r="J32" s="411"/>
      <c r="K32" s="412"/>
      <c r="L32" s="412">
        <v>45627</v>
      </c>
      <c r="M32" s="893" t="s">
        <v>525</v>
      </c>
      <c r="O32" s="298">
        <f>I27/30</f>
        <v>25000</v>
      </c>
    </row>
    <row r="33" spans="1:15" ht="14.25" customHeight="1" x14ac:dyDescent="0.25">
      <c r="A33" s="406">
        <v>11502</v>
      </c>
      <c r="B33" s="894"/>
      <c r="C33" s="408" t="s">
        <v>113</v>
      </c>
      <c r="D33" s="409"/>
      <c r="E33" s="410">
        <f>9825*30</f>
        <v>294750</v>
      </c>
      <c r="F33" s="410">
        <f>13658*30</f>
        <v>409740</v>
      </c>
      <c r="G33" s="410">
        <f>7796*30</f>
        <v>233880</v>
      </c>
      <c r="H33" s="410">
        <f>20047*30</f>
        <v>601410</v>
      </c>
      <c r="I33" s="410">
        <f t="shared" ref="I33:I35" si="1">SUM(E33:H33)</f>
        <v>1539780</v>
      </c>
      <c r="J33" s="411"/>
      <c r="K33" s="412" t="s">
        <v>668</v>
      </c>
      <c r="L33" s="412"/>
      <c r="M33" s="893"/>
      <c r="N33" s="298">
        <f>E33+F33*2+G33*3+H33*4</f>
        <v>4221510</v>
      </c>
      <c r="O33" s="1177">
        <f>N33/O35</f>
        <v>7.4497235294117656</v>
      </c>
    </row>
    <row r="34" spans="1:15" ht="14.25" customHeight="1" x14ac:dyDescent="0.25">
      <c r="A34" s="406">
        <v>28228</v>
      </c>
      <c r="B34" s="894"/>
      <c r="C34" s="408" t="s">
        <v>113</v>
      </c>
      <c r="D34" s="409">
        <f>80000*25</f>
        <v>2000000</v>
      </c>
      <c r="E34" s="410"/>
      <c r="F34" s="410"/>
      <c r="G34" s="410"/>
      <c r="H34" s="410"/>
      <c r="I34" s="410">
        <f t="shared" si="1"/>
        <v>0</v>
      </c>
      <c r="J34" s="411"/>
      <c r="K34" s="412" t="s">
        <v>668</v>
      </c>
      <c r="L34" s="412"/>
      <c r="M34" s="893"/>
      <c r="N34" s="949">
        <f>D34/333333</f>
        <v>6.0000060000059996</v>
      </c>
      <c r="O34" s="298"/>
    </row>
    <row r="35" spans="1:15" ht="14.25" customHeight="1" x14ac:dyDescent="0.25">
      <c r="A35" s="406"/>
      <c r="B35" s="894"/>
      <c r="C35" s="408" t="s">
        <v>113</v>
      </c>
      <c r="D35" s="409"/>
      <c r="E35" s="410"/>
      <c r="F35" s="410"/>
      <c r="G35" s="410"/>
      <c r="H35" s="410"/>
      <c r="I35" s="410">
        <f t="shared" si="1"/>
        <v>0</v>
      </c>
      <c r="J35" s="411"/>
      <c r="K35" s="412"/>
      <c r="L35" s="412"/>
      <c r="M35" s="893"/>
      <c r="O35" s="298">
        <v>566666.66666666663</v>
      </c>
    </row>
    <row r="36" spans="1:15" ht="15.75" thickBot="1" x14ac:dyDescent="0.3">
      <c r="A36" s="229"/>
      <c r="B36" s="261"/>
      <c r="C36" s="268" t="s">
        <v>18</v>
      </c>
      <c r="D36" s="822"/>
      <c r="E36" s="106">
        <v>0.32</v>
      </c>
      <c r="F36" s="106">
        <v>0.51</v>
      </c>
      <c r="G36" s="106">
        <v>0.7</v>
      </c>
      <c r="H36" s="44">
        <v>0.94</v>
      </c>
      <c r="I36" s="278"/>
      <c r="J36" s="275"/>
      <c r="K36" s="105"/>
      <c r="L36" s="45"/>
      <c r="M36" s="233"/>
    </row>
    <row r="37" spans="1:15" x14ac:dyDescent="0.25">
      <c r="B37" s="247"/>
      <c r="K37" s="821"/>
    </row>
    <row r="38" spans="1:15" ht="15.75" x14ac:dyDescent="0.25">
      <c r="B38" s="247" t="s">
        <v>527</v>
      </c>
      <c r="C38" s="920"/>
      <c r="D38" s="921" t="s">
        <v>118</v>
      </c>
      <c r="E38" s="922" t="s">
        <v>99</v>
      </c>
      <c r="F38" s="923"/>
      <c r="G38" s="923"/>
      <c r="H38" s="923"/>
      <c r="I38" s="922" t="s">
        <v>117</v>
      </c>
      <c r="J38" s="922" t="s">
        <v>33</v>
      </c>
      <c r="L38">
        <f>3600*30</f>
        <v>108000</v>
      </c>
      <c r="M38">
        <f>11000*30</f>
        <v>330000</v>
      </c>
    </row>
    <row r="39" spans="1:15" ht="15.75" x14ac:dyDescent="0.25">
      <c r="C39" s="924"/>
      <c r="D39" s="925">
        <f>D28/'ACT-RDT-PQ BY AMS'!T17</f>
        <v>2.25</v>
      </c>
      <c r="E39" s="1295">
        <f>(E27)+(F27*2)+(G27*3)+(H27*4)</f>
        <v>2652000</v>
      </c>
      <c r="F39" s="1296"/>
      <c r="G39" s="1296"/>
      <c r="H39" s="1297"/>
      <c r="I39" s="922">
        <f>E39/'ACT-RDT-PQ BY AMS'!AA17</f>
        <v>4.6800000000000006</v>
      </c>
      <c r="J39" s="926">
        <f>J23/'ACT-RDT-PQ BY AMS'!Z17</f>
        <v>0.6467065868263473</v>
      </c>
    </row>
    <row r="40" spans="1:15" ht="23.25" customHeight="1" x14ac:dyDescent="0.25">
      <c r="A40" s="262" t="s">
        <v>526</v>
      </c>
      <c r="B40" s="279"/>
      <c r="C40" s="924"/>
      <c r="D40" s="925">
        <f>D26/'ACT-RDT-PQ BY AMS'!T17</f>
        <v>3.65625</v>
      </c>
      <c r="E40" s="1295">
        <f>(E29)+(F29*2)+(G29*3)+(H29*4)</f>
        <v>638100</v>
      </c>
      <c r="F40" s="1296"/>
      <c r="G40" s="1296"/>
      <c r="H40" s="1297"/>
      <c r="I40" s="922">
        <f>E40/'ACT-RDT-PQ BY AMS'!AA17</f>
        <v>1.1260588235294118</v>
      </c>
      <c r="J40" s="922"/>
      <c r="M40" s="18">
        <f>333333*4</f>
        <v>1333332</v>
      </c>
    </row>
    <row r="41" spans="1:15" ht="15.75" x14ac:dyDescent="0.25">
      <c r="A41" s="1109">
        <f>D28+D31</f>
        <v>1175000</v>
      </c>
      <c r="C41" s="920"/>
      <c r="D41" s="927">
        <f>D20/'ACT-RDT-PQ BY AMS'!T17</f>
        <v>2.7</v>
      </c>
      <c r="E41" s="1290">
        <f>E30+(F30*2)+(G30*3)+(H30*4)</f>
        <v>1599000</v>
      </c>
      <c r="F41" s="1291"/>
      <c r="G41" s="1291"/>
      <c r="H41" s="1292"/>
      <c r="I41" s="922">
        <f>E41/'ACT-RDT-PQ BY AMS'!AA17</f>
        <v>2.821764705882353</v>
      </c>
      <c r="J41" s="928"/>
      <c r="M41" s="18">
        <f>M40/25</f>
        <v>53333.279999999999</v>
      </c>
    </row>
    <row r="42" spans="1:15" ht="15.75" x14ac:dyDescent="0.25">
      <c r="A42" s="1109">
        <f>A41/25</f>
        <v>47000</v>
      </c>
      <c r="B42" s="1110">
        <f>A42*9</f>
        <v>423000</v>
      </c>
      <c r="C42" s="920"/>
      <c r="D42" s="929">
        <f>D25/'ACT-RDT-PQ BY AMS'!T17</f>
        <v>0</v>
      </c>
      <c r="E42" s="1287">
        <f>E32+(F32*2)+(G32*3)+(H32*4)</f>
        <v>2646000</v>
      </c>
      <c r="F42" s="1288"/>
      <c r="G42" s="1288"/>
      <c r="H42" s="1289"/>
      <c r="I42" s="926">
        <f>E42/'ACT-RDT-PQ BY AMS'!AA17</f>
        <v>4.6694117647058828</v>
      </c>
      <c r="J42" s="928"/>
      <c r="M42" s="18">
        <v>54000</v>
      </c>
    </row>
    <row r="43" spans="1:15" ht="15.75" x14ac:dyDescent="0.25">
      <c r="C43" s="920"/>
      <c r="D43" s="947">
        <f>D31/333333</f>
        <v>1.2750012750012749</v>
      </c>
      <c r="E43" s="8"/>
      <c r="F43" s="8"/>
      <c r="G43" s="930" t="s">
        <v>283</v>
      </c>
      <c r="H43" s="930"/>
      <c r="I43" s="931">
        <f>SUM(I39:I42)</f>
        <v>13.297235294117648</v>
      </c>
      <c r="J43" s="932"/>
      <c r="M43" s="298">
        <f>M42*25</f>
        <v>1350000</v>
      </c>
    </row>
    <row r="44" spans="1:15" ht="15.75" x14ac:dyDescent="0.25">
      <c r="C44" s="1111">
        <f>D28/25</f>
        <v>30000</v>
      </c>
      <c r="D44" s="8"/>
      <c r="E44" s="8"/>
      <c r="F44" s="8"/>
      <c r="G44" s="8"/>
      <c r="H44" s="930"/>
      <c r="I44" s="931"/>
      <c r="J44" s="928"/>
    </row>
    <row r="45" spans="1:15" x14ac:dyDescent="0.25">
      <c r="C45" s="1109">
        <f>D31/25</f>
        <v>17000</v>
      </c>
      <c r="J45" s="401"/>
    </row>
    <row r="46" spans="1:15" x14ac:dyDescent="0.25">
      <c r="C46" s="1109">
        <f>SUM(C44:C45)</f>
        <v>47000</v>
      </c>
    </row>
  </sheetData>
  <mergeCells count="16">
    <mergeCell ref="E42:H42"/>
    <mergeCell ref="E41:H41"/>
    <mergeCell ref="A5:A6"/>
    <mergeCell ref="E39:H39"/>
    <mergeCell ref="E40:H40"/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56" type="noConversion"/>
  <conditionalFormatting sqref="E36:G36">
    <cfRule type="expression" dxfId="0" priority="1">
      <formula>ISERROR(E36)</formula>
    </cfRule>
  </conditionalFormatting>
  <dataValidations count="1">
    <dataValidation type="decimal" operator="greaterThan" allowBlank="1" showInputMessage="1" showErrorMessage="1" sqref="E36:G36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510"/>
  <sheetViews>
    <sheetView zoomScale="93" zoomScaleNormal="98" zoomScaleSheetLayoutView="172" workbookViewId="0">
      <pane xSplit="4" ySplit="7" topLeftCell="S17" activePane="bottomRight" state="frozen"/>
      <selection pane="topRight" activeCell="E1" sqref="E1"/>
      <selection pane="bottomLeft" activeCell="A8" sqref="A8"/>
      <selection pane="bottomRight" activeCell="B19" sqref="B19"/>
    </sheetView>
  </sheetViews>
  <sheetFormatPr defaultColWidth="9.140625" defaultRowHeight="15" x14ac:dyDescent="0.25"/>
  <cols>
    <col min="1" max="1" width="10.28515625" style="262" customWidth="1"/>
    <col min="2" max="2" width="12.140625" style="244" customWidth="1"/>
    <col min="3" max="3" width="16.7109375" style="428" bestFit="1" customWidth="1"/>
    <col min="4" max="4" width="10.5703125" style="428" customWidth="1"/>
    <col min="5" max="5" width="10.85546875" style="298" customWidth="1"/>
    <col min="6" max="6" width="9.42578125" style="813" customWidth="1"/>
    <col min="7" max="7" width="10.28515625" customWidth="1"/>
    <col min="8" max="8" width="9.42578125" customWidth="1"/>
    <col min="9" max="9" width="11.5703125" style="245" customWidth="1"/>
    <col min="10" max="10" width="11.28515625" style="295" customWidth="1"/>
    <col min="11" max="11" width="11.85546875" style="124" customWidth="1"/>
    <col min="12" max="13" width="11.140625" style="299" customWidth="1"/>
    <col min="14" max="14" width="11.28515625" style="299" customWidth="1"/>
    <col min="15" max="15" width="10.7109375" style="299" customWidth="1"/>
    <col min="16" max="16" width="16.5703125" style="299" bestFit="1" customWidth="1"/>
    <col min="17" max="17" width="11.140625" style="299" customWidth="1"/>
    <col min="18" max="18" width="11.5703125" style="299" customWidth="1"/>
    <col min="19" max="19" width="9.85546875" style="299" customWidth="1"/>
    <col min="20" max="20" width="8.5703125" style="299" customWidth="1"/>
    <col min="21" max="21" width="2.140625" style="124" customWidth="1"/>
    <col min="22" max="22" width="10.85546875" style="298" customWidth="1"/>
    <col min="23" max="24" width="10.140625" customWidth="1"/>
    <col min="25" max="25" width="8.7109375" customWidth="1"/>
    <col min="26" max="26" width="12.140625" style="245" customWidth="1"/>
    <col min="27" max="27" width="10.85546875" style="295" customWidth="1"/>
    <col min="28" max="28" width="11.85546875" style="124" customWidth="1"/>
    <col min="29" max="29" width="10.85546875" style="299" customWidth="1"/>
    <col min="30" max="30" width="11.140625" style="299" customWidth="1"/>
    <col min="31" max="31" width="11.28515625" style="299" customWidth="1"/>
    <col min="32" max="32" width="11" style="299" customWidth="1"/>
    <col min="33" max="33" width="10" style="299" customWidth="1"/>
    <col min="34" max="34" width="10.140625" style="299" customWidth="1"/>
    <col min="35" max="35" width="11.42578125" style="299" customWidth="1"/>
    <col min="36" max="36" width="10.85546875" style="299" customWidth="1"/>
    <col min="37" max="37" width="8.5703125" style="299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7"/>
      <c r="B1" s="307"/>
      <c r="C1" s="415"/>
      <c r="D1" s="415"/>
      <c r="E1" s="772"/>
      <c r="F1" s="773"/>
      <c r="G1" s="773"/>
      <c r="H1" s="773"/>
      <c r="I1" s="773"/>
      <c r="J1" s="884"/>
      <c r="K1" s="773"/>
      <c r="L1" s="773"/>
      <c r="M1" s="773"/>
      <c r="N1" s="773"/>
      <c r="O1" s="773"/>
      <c r="P1" s="773"/>
      <c r="Q1" s="773"/>
      <c r="R1" s="773"/>
      <c r="S1" s="773"/>
      <c r="T1" s="773"/>
      <c r="U1" s="296"/>
      <c r="V1" s="1336" t="s">
        <v>149</v>
      </c>
      <c r="W1" s="1337"/>
      <c r="X1" s="1337"/>
      <c r="Y1" s="1337"/>
      <c r="Z1" s="1337"/>
      <c r="AA1" s="1337"/>
      <c r="AB1" s="1337"/>
      <c r="AC1" s="1337"/>
      <c r="AD1" s="1337"/>
      <c r="AE1" s="1337"/>
      <c r="AF1" s="1337"/>
      <c r="AG1" s="1337"/>
      <c r="AH1" s="1337"/>
      <c r="AI1" s="1337"/>
      <c r="AJ1" s="1337"/>
      <c r="AK1" s="1337"/>
      <c r="AL1" s="622"/>
      <c r="AM1" s="623"/>
      <c r="AN1" s="622"/>
    </row>
    <row r="2" spans="1:40" ht="21.75" customHeight="1" thickBot="1" x14ac:dyDescent="0.4">
      <c r="A2" s="308"/>
      <c r="B2" s="309"/>
      <c r="C2" s="416"/>
      <c r="D2" s="416"/>
      <c r="E2" s="1328" t="s">
        <v>85</v>
      </c>
      <c r="F2" s="1329"/>
      <c r="G2" s="1329"/>
      <c r="H2" s="1329"/>
      <c r="I2" s="1329"/>
      <c r="J2" s="1329"/>
      <c r="K2" s="1330"/>
      <c r="L2" s="1298" t="s">
        <v>139</v>
      </c>
      <c r="M2" s="1299"/>
      <c r="N2" s="1299"/>
      <c r="O2" s="1299"/>
      <c r="P2" s="1299"/>
      <c r="Q2" s="1299"/>
      <c r="R2" s="1299"/>
      <c r="S2" s="1299"/>
      <c r="T2" s="1299"/>
      <c r="U2" s="296"/>
      <c r="V2" s="1346" t="s">
        <v>85</v>
      </c>
      <c r="W2" s="1347"/>
      <c r="X2" s="1347"/>
      <c r="Y2" s="1347"/>
      <c r="Z2" s="1347"/>
      <c r="AA2" s="1347"/>
      <c r="AB2" s="1348"/>
      <c r="AC2" s="1306" t="s">
        <v>139</v>
      </c>
      <c r="AD2" s="1307"/>
      <c r="AE2" s="1307"/>
      <c r="AF2" s="1307"/>
      <c r="AG2" s="1307"/>
      <c r="AH2" s="1307"/>
      <c r="AI2" s="1307"/>
      <c r="AJ2" s="1307"/>
      <c r="AK2" s="1307"/>
      <c r="AL2" s="614"/>
      <c r="AM2" s="615"/>
      <c r="AN2" s="614"/>
    </row>
    <row r="3" spans="1:40" ht="15" customHeight="1" thickBot="1" x14ac:dyDescent="0.4">
      <c r="A3" s="310"/>
      <c r="B3" s="311"/>
      <c r="C3" s="417"/>
      <c r="D3" s="417"/>
      <c r="E3" s="1331"/>
      <c r="F3" s="1332"/>
      <c r="G3" s="1332"/>
      <c r="H3" s="1332"/>
      <c r="I3" s="1332"/>
      <c r="J3" s="1332"/>
      <c r="K3" s="1333"/>
      <c r="L3" s="1300"/>
      <c r="M3" s="1301"/>
      <c r="N3" s="1301"/>
      <c r="O3" s="1301"/>
      <c r="P3" s="1301"/>
      <c r="Q3" s="1301"/>
      <c r="R3" s="1301"/>
      <c r="S3" s="1301"/>
      <c r="T3" s="1301"/>
      <c r="U3" s="296"/>
      <c r="V3" s="1349"/>
      <c r="W3" s="1350"/>
      <c r="X3" s="1350"/>
      <c r="Y3" s="1350"/>
      <c r="Z3" s="1350"/>
      <c r="AA3" s="1350"/>
      <c r="AB3" s="1351"/>
      <c r="AC3" s="1308"/>
      <c r="AD3" s="1309"/>
      <c r="AE3" s="1309"/>
      <c r="AF3" s="1309"/>
      <c r="AG3" s="1309"/>
      <c r="AH3" s="1309"/>
      <c r="AI3" s="1309"/>
      <c r="AJ3" s="1309"/>
      <c r="AK3" s="1309"/>
      <c r="AL3" s="616"/>
      <c r="AM3" s="617"/>
      <c r="AN3" s="614"/>
    </row>
    <row r="4" spans="1:40" s="30" customFormat="1" ht="12.75" customHeight="1" thickBot="1" x14ac:dyDescent="0.4">
      <c r="A4" s="1293" t="s">
        <v>1</v>
      </c>
      <c r="B4" s="1334" t="s">
        <v>110</v>
      </c>
      <c r="C4" s="418" t="s">
        <v>95</v>
      </c>
      <c r="D4" s="419" t="s">
        <v>97</v>
      </c>
      <c r="E4" s="1352" t="s">
        <v>30</v>
      </c>
      <c r="F4" s="1354" t="s">
        <v>125</v>
      </c>
      <c r="G4" s="1356" t="s">
        <v>91</v>
      </c>
      <c r="H4" s="1356" t="s">
        <v>92</v>
      </c>
      <c r="I4" s="1356" t="s">
        <v>93</v>
      </c>
      <c r="J4" s="1320" t="s">
        <v>94</v>
      </c>
      <c r="K4" s="1324" t="s">
        <v>46</v>
      </c>
      <c r="L4" s="1322" t="s">
        <v>132</v>
      </c>
      <c r="M4" s="1302" t="s">
        <v>128</v>
      </c>
      <c r="N4" s="1302" t="s">
        <v>127</v>
      </c>
      <c r="O4" s="1302" t="s">
        <v>126</v>
      </c>
      <c r="P4" s="1302" t="s">
        <v>129</v>
      </c>
      <c r="Q4" s="1302" t="s">
        <v>130</v>
      </c>
      <c r="R4" s="1302" t="s">
        <v>137</v>
      </c>
      <c r="S4" s="1302" t="s">
        <v>138</v>
      </c>
      <c r="T4" s="1326" t="s">
        <v>131</v>
      </c>
      <c r="U4" s="296"/>
      <c r="V4" s="1344" t="s">
        <v>30</v>
      </c>
      <c r="W4" s="1342" t="s">
        <v>125</v>
      </c>
      <c r="X4" s="1316" t="s">
        <v>91</v>
      </c>
      <c r="Y4" s="1316" t="s">
        <v>92</v>
      </c>
      <c r="Z4" s="1316" t="s">
        <v>93</v>
      </c>
      <c r="AA4" s="1338" t="s">
        <v>94</v>
      </c>
      <c r="AB4" s="1340" t="s">
        <v>46</v>
      </c>
      <c r="AC4" s="1314" t="s">
        <v>132</v>
      </c>
      <c r="AD4" s="1310" t="s">
        <v>128</v>
      </c>
      <c r="AE4" s="1310" t="s">
        <v>127</v>
      </c>
      <c r="AF4" s="1310" t="s">
        <v>126</v>
      </c>
      <c r="AG4" s="1310" t="s">
        <v>129</v>
      </c>
      <c r="AH4" s="1310" t="s">
        <v>130</v>
      </c>
      <c r="AI4" s="1310" t="s">
        <v>137</v>
      </c>
      <c r="AJ4" s="1310" t="s">
        <v>138</v>
      </c>
      <c r="AK4" s="1318" t="s">
        <v>131</v>
      </c>
      <c r="AL4" s="618" t="s">
        <v>133</v>
      </c>
      <c r="AM4" s="619" t="s">
        <v>133</v>
      </c>
      <c r="AN4" s="1312" t="s">
        <v>111</v>
      </c>
    </row>
    <row r="5" spans="1:40" s="30" customFormat="1" ht="35.25" customHeight="1" thickBot="1" x14ac:dyDescent="0.4">
      <c r="A5" s="1294"/>
      <c r="B5" s="1335"/>
      <c r="C5" s="420" t="s">
        <v>96</v>
      </c>
      <c r="D5" s="421" t="s">
        <v>95</v>
      </c>
      <c r="E5" s="1353"/>
      <c r="F5" s="1355"/>
      <c r="G5" s="1357"/>
      <c r="H5" s="1357"/>
      <c r="I5" s="1357"/>
      <c r="J5" s="1321"/>
      <c r="K5" s="1325"/>
      <c r="L5" s="1323"/>
      <c r="M5" s="1303"/>
      <c r="N5" s="1303"/>
      <c r="O5" s="1303"/>
      <c r="P5" s="1303"/>
      <c r="Q5" s="1303"/>
      <c r="R5" s="1303"/>
      <c r="S5" s="1303"/>
      <c r="T5" s="1327"/>
      <c r="U5" s="296"/>
      <c r="V5" s="1345"/>
      <c r="W5" s="1343"/>
      <c r="X5" s="1317"/>
      <c r="Y5" s="1317"/>
      <c r="Z5" s="1317"/>
      <c r="AA5" s="1339"/>
      <c r="AB5" s="1341"/>
      <c r="AC5" s="1315"/>
      <c r="AD5" s="1311"/>
      <c r="AE5" s="1311"/>
      <c r="AF5" s="1311"/>
      <c r="AG5" s="1311"/>
      <c r="AH5" s="1311"/>
      <c r="AI5" s="1311"/>
      <c r="AJ5" s="1311"/>
      <c r="AK5" s="1319"/>
      <c r="AL5" s="620" t="s">
        <v>134</v>
      </c>
      <c r="AM5" s="621" t="s">
        <v>135</v>
      </c>
      <c r="AN5" s="1313"/>
    </row>
    <row r="6" spans="1:40" s="39" customFormat="1" ht="21.75" thickBot="1" x14ac:dyDescent="0.4">
      <c r="A6" s="850" t="s">
        <v>25</v>
      </c>
      <c r="B6" s="1195">
        <v>1520</v>
      </c>
      <c r="C6" s="847">
        <v>44287</v>
      </c>
      <c r="D6" s="849">
        <v>44348</v>
      </c>
      <c r="E6" s="664"/>
      <c r="F6" s="798">
        <v>0</v>
      </c>
      <c r="G6" s="665">
        <v>0</v>
      </c>
      <c r="H6" s="665">
        <v>0</v>
      </c>
      <c r="I6" s="665">
        <v>0</v>
      </c>
      <c r="J6" s="665">
        <f t="shared" ref="J6:J16" si="0">SUM(F6:I6)</f>
        <v>0</v>
      </c>
      <c r="K6" s="667">
        <v>0</v>
      </c>
      <c r="L6" s="655">
        <v>0</v>
      </c>
      <c r="M6" s="655">
        <v>0</v>
      </c>
      <c r="N6" s="655">
        <f>AE6-AL6</f>
        <v>0</v>
      </c>
      <c r="O6" s="655">
        <v>0</v>
      </c>
      <c r="P6" s="655">
        <v>0</v>
      </c>
      <c r="Q6" s="655">
        <v>0</v>
      </c>
      <c r="R6" s="655"/>
      <c r="S6" s="655"/>
      <c r="T6" s="655">
        <v>0</v>
      </c>
      <c r="U6" s="1196"/>
      <c r="V6" s="664">
        <v>0</v>
      </c>
      <c r="W6" s="665">
        <v>0</v>
      </c>
      <c r="X6" s="665">
        <v>0</v>
      </c>
      <c r="Y6" s="665">
        <v>0</v>
      </c>
      <c r="Z6" s="665">
        <v>0</v>
      </c>
      <c r="AA6" s="665">
        <f>SUM(W6:Z6)</f>
        <v>0</v>
      </c>
      <c r="AB6" s="667">
        <v>0</v>
      </c>
      <c r="AC6" s="655">
        <v>0</v>
      </c>
      <c r="AD6" s="655">
        <v>0</v>
      </c>
      <c r="AE6" s="655">
        <v>30000</v>
      </c>
      <c r="AF6" s="655">
        <v>0</v>
      </c>
      <c r="AG6" s="655">
        <v>0</v>
      </c>
      <c r="AH6" s="655">
        <v>0</v>
      </c>
      <c r="AI6" s="655"/>
      <c r="AJ6" s="655"/>
      <c r="AK6" s="655">
        <v>0</v>
      </c>
      <c r="AL6" s="674">
        <f>15000+15000</f>
        <v>30000</v>
      </c>
      <c r="AM6" s="791">
        <f t="shared" ref="AM6:AM24" si="1">(V6+W6+X6+Y6+Z6+AB6+AC6+AD6+AE6+AF6+AG6+AH6+AI6+AJ6+AK6)-AL6</f>
        <v>0</v>
      </c>
      <c r="AN6" s="854" t="s">
        <v>691</v>
      </c>
    </row>
    <row r="7" spans="1:40" s="30" customFormat="1" ht="21.75" thickBot="1" x14ac:dyDescent="0.4">
      <c r="A7" s="850" t="s">
        <v>25</v>
      </c>
      <c r="B7" s="846">
        <v>1720</v>
      </c>
      <c r="C7" s="847" t="s">
        <v>151</v>
      </c>
      <c r="D7" s="849" t="s">
        <v>152</v>
      </c>
      <c r="E7" s="664"/>
      <c r="F7" s="798">
        <v>0</v>
      </c>
      <c r="G7" s="665">
        <v>0</v>
      </c>
      <c r="H7" s="665">
        <v>0</v>
      </c>
      <c r="I7" s="665">
        <v>0</v>
      </c>
      <c r="J7" s="666">
        <f t="shared" si="0"/>
        <v>0</v>
      </c>
      <c r="K7" s="667">
        <v>0</v>
      </c>
      <c r="L7" s="655">
        <v>0</v>
      </c>
      <c r="M7" s="655">
        <v>0</v>
      </c>
      <c r="N7" s="655">
        <v>0</v>
      </c>
      <c r="O7" s="655">
        <f>AF7-AL7</f>
        <v>0</v>
      </c>
      <c r="P7" s="655">
        <v>0</v>
      </c>
      <c r="Q7" s="655">
        <v>0</v>
      </c>
      <c r="R7" s="655">
        <v>0</v>
      </c>
      <c r="S7" s="655">
        <v>0</v>
      </c>
      <c r="T7" s="655">
        <v>0</v>
      </c>
      <c r="U7" s="837"/>
      <c r="V7" s="664">
        <v>0</v>
      </c>
      <c r="W7" s="665">
        <v>0</v>
      </c>
      <c r="X7" s="665">
        <v>0</v>
      </c>
      <c r="Y7" s="665">
        <v>0</v>
      </c>
      <c r="Z7" s="673">
        <v>0</v>
      </c>
      <c r="AA7" s="666">
        <f>SUM(W7:Z7)</f>
        <v>0</v>
      </c>
      <c r="AB7" s="667">
        <v>0</v>
      </c>
      <c r="AC7" s="655">
        <v>0</v>
      </c>
      <c r="AD7" s="655">
        <v>0</v>
      </c>
      <c r="AE7" s="655">
        <v>0</v>
      </c>
      <c r="AF7" s="655">
        <v>4470</v>
      </c>
      <c r="AG7" s="655">
        <v>0</v>
      </c>
      <c r="AH7" s="655">
        <v>0</v>
      </c>
      <c r="AI7" s="655">
        <v>0</v>
      </c>
      <c r="AJ7" s="655">
        <v>0</v>
      </c>
      <c r="AK7" s="655">
        <v>0</v>
      </c>
      <c r="AL7" s="674">
        <v>4470</v>
      </c>
      <c r="AM7" s="670">
        <f t="shared" si="1"/>
        <v>0</v>
      </c>
      <c r="AN7" s="852" t="s">
        <v>345</v>
      </c>
    </row>
    <row r="8" spans="1:40" s="382" customFormat="1" ht="21.75" thickBot="1" x14ac:dyDescent="0.4">
      <c r="A8" s="660" t="s">
        <v>25</v>
      </c>
      <c r="B8" s="661">
        <v>1720</v>
      </c>
      <c r="C8" s="662" t="s">
        <v>151</v>
      </c>
      <c r="D8" s="672" t="s">
        <v>152</v>
      </c>
      <c r="E8" s="664"/>
      <c r="F8" s="798">
        <v>0</v>
      </c>
      <c r="G8" s="665">
        <v>0</v>
      </c>
      <c r="H8" s="665">
        <v>0</v>
      </c>
      <c r="I8" s="665">
        <v>0</v>
      </c>
      <c r="J8" s="666">
        <f t="shared" si="0"/>
        <v>0</v>
      </c>
      <c r="K8" s="667">
        <f>AB8-AL8</f>
        <v>0</v>
      </c>
      <c r="L8" s="654">
        <v>0</v>
      </c>
      <c r="M8" s="654">
        <v>0</v>
      </c>
      <c r="N8" s="654">
        <v>0</v>
      </c>
      <c r="O8" s="654">
        <v>0</v>
      </c>
      <c r="P8" s="654">
        <v>0</v>
      </c>
      <c r="Q8" s="654">
        <v>0</v>
      </c>
      <c r="R8" s="654">
        <v>0</v>
      </c>
      <c r="S8" s="654">
        <v>0</v>
      </c>
      <c r="T8" s="654">
        <v>0</v>
      </c>
      <c r="U8" s="837"/>
      <c r="V8" s="664">
        <v>0</v>
      </c>
      <c r="W8" s="665">
        <v>0</v>
      </c>
      <c r="X8" s="665">
        <v>0</v>
      </c>
      <c r="Y8" s="665">
        <v>0</v>
      </c>
      <c r="Z8" s="673">
        <v>0</v>
      </c>
      <c r="AA8" s="666">
        <f>SUM(W8:Z8)</f>
        <v>0</v>
      </c>
      <c r="AB8" s="667">
        <v>619500</v>
      </c>
      <c r="AC8" s="654">
        <v>0</v>
      </c>
      <c r="AD8" s="654">
        <v>0</v>
      </c>
      <c r="AE8" s="654">
        <v>0</v>
      </c>
      <c r="AF8" s="654">
        <v>0</v>
      </c>
      <c r="AG8" s="654">
        <v>0</v>
      </c>
      <c r="AH8" s="654">
        <v>0</v>
      </c>
      <c r="AI8" s="654">
        <v>0</v>
      </c>
      <c r="AJ8" s="654">
        <v>0</v>
      </c>
      <c r="AK8" s="654">
        <v>0</v>
      </c>
      <c r="AL8" s="674">
        <f>80800+538700</f>
        <v>619500</v>
      </c>
      <c r="AM8" s="670">
        <f t="shared" si="1"/>
        <v>0</v>
      </c>
      <c r="AN8" s="677" t="s">
        <v>227</v>
      </c>
    </row>
    <row r="9" spans="1:40" s="350" customFormat="1" ht="21.75" thickBot="1" x14ac:dyDescent="0.4">
      <c r="A9" s="660" t="s">
        <v>25</v>
      </c>
      <c r="B9" s="661">
        <v>1810</v>
      </c>
      <c r="C9" s="662" t="s">
        <v>161</v>
      </c>
      <c r="D9" s="672" t="s">
        <v>162</v>
      </c>
      <c r="E9" s="664"/>
      <c r="F9" s="798">
        <v>0</v>
      </c>
      <c r="G9" s="665">
        <v>0</v>
      </c>
      <c r="H9" s="665">
        <v>0</v>
      </c>
      <c r="I9" s="665">
        <v>0</v>
      </c>
      <c r="J9" s="666">
        <f t="shared" si="0"/>
        <v>0</v>
      </c>
      <c r="K9" s="667">
        <v>0</v>
      </c>
      <c r="L9" s="654">
        <v>0</v>
      </c>
      <c r="M9" s="654">
        <v>0</v>
      </c>
      <c r="N9" s="654">
        <v>0</v>
      </c>
      <c r="O9" s="654">
        <f>AF9-AL9</f>
        <v>0</v>
      </c>
      <c r="P9" s="654"/>
      <c r="Q9" s="654"/>
      <c r="R9" s="654"/>
      <c r="S9" s="654"/>
      <c r="T9" s="654"/>
      <c r="U9" s="837"/>
      <c r="V9" s="664"/>
      <c r="W9" s="665"/>
      <c r="X9" s="665"/>
      <c r="Y9" s="665"/>
      <c r="Z9" s="673"/>
      <c r="AA9" s="666"/>
      <c r="AB9" s="667"/>
      <c r="AC9" s="654"/>
      <c r="AD9" s="654"/>
      <c r="AE9" s="654"/>
      <c r="AF9" s="654">
        <v>7450</v>
      </c>
      <c r="AG9" s="654"/>
      <c r="AH9" s="654"/>
      <c r="AI9" s="654"/>
      <c r="AJ9" s="654"/>
      <c r="AK9" s="654"/>
      <c r="AL9" s="674">
        <v>7450</v>
      </c>
      <c r="AM9" s="670">
        <f t="shared" si="1"/>
        <v>0</v>
      </c>
      <c r="AN9" s="677" t="s">
        <v>285</v>
      </c>
    </row>
    <row r="10" spans="1:40" s="381" customFormat="1" ht="21.75" thickBot="1" x14ac:dyDescent="0.4">
      <c r="A10" s="845" t="s">
        <v>25</v>
      </c>
      <c r="B10" s="846">
        <v>1811</v>
      </c>
      <c r="C10" s="847" t="s">
        <v>161</v>
      </c>
      <c r="D10" s="849" t="s">
        <v>162</v>
      </c>
      <c r="E10" s="664"/>
      <c r="F10" s="798">
        <v>0</v>
      </c>
      <c r="G10" s="665">
        <v>0</v>
      </c>
      <c r="H10" s="665">
        <v>0</v>
      </c>
      <c r="I10" s="665">
        <v>0</v>
      </c>
      <c r="J10" s="666">
        <f t="shared" si="0"/>
        <v>0</v>
      </c>
      <c r="K10" s="667"/>
      <c r="L10" s="654"/>
      <c r="M10" s="654"/>
      <c r="N10" s="654"/>
      <c r="O10" s="654"/>
      <c r="P10" s="654"/>
      <c r="Q10" s="654"/>
      <c r="R10" s="654"/>
      <c r="S10" s="654"/>
      <c r="T10" s="654">
        <f>AK10-AL10</f>
        <v>0</v>
      </c>
      <c r="U10" s="837"/>
      <c r="V10" s="664"/>
      <c r="W10" s="665"/>
      <c r="X10" s="665"/>
      <c r="Y10" s="665"/>
      <c r="Z10" s="673"/>
      <c r="AA10" s="666">
        <f t="shared" ref="AA10:AA15" si="2">SUM(W10:Z10)</f>
        <v>0</v>
      </c>
      <c r="AB10" s="667"/>
      <c r="AC10" s="654"/>
      <c r="AD10" s="654"/>
      <c r="AE10" s="654"/>
      <c r="AF10" s="654"/>
      <c r="AG10" s="654"/>
      <c r="AH10" s="654"/>
      <c r="AI10" s="654"/>
      <c r="AJ10" s="654"/>
      <c r="AK10" s="654">
        <v>16200</v>
      </c>
      <c r="AL10" s="674">
        <v>16200</v>
      </c>
      <c r="AM10" s="670">
        <f t="shared" si="1"/>
        <v>0</v>
      </c>
      <c r="AN10" s="1015" t="s">
        <v>452</v>
      </c>
    </row>
    <row r="11" spans="1:40" s="381" customFormat="1" ht="21.75" thickBot="1" x14ac:dyDescent="0.4">
      <c r="A11" s="845" t="s">
        <v>25</v>
      </c>
      <c r="B11" s="846">
        <v>1811</v>
      </c>
      <c r="C11" s="847" t="s">
        <v>161</v>
      </c>
      <c r="D11" s="849" t="s">
        <v>162</v>
      </c>
      <c r="E11" s="664"/>
      <c r="F11" s="798">
        <v>0</v>
      </c>
      <c r="G11" s="665">
        <v>0</v>
      </c>
      <c r="H11" s="665">
        <v>0</v>
      </c>
      <c r="I11" s="665">
        <v>0</v>
      </c>
      <c r="J11" s="666">
        <f t="shared" si="0"/>
        <v>0</v>
      </c>
      <c r="K11" s="667">
        <v>0</v>
      </c>
      <c r="L11" s="654"/>
      <c r="M11" s="654"/>
      <c r="N11" s="654"/>
      <c r="O11" s="654"/>
      <c r="P11" s="654"/>
      <c r="Q11" s="654"/>
      <c r="R11" s="654"/>
      <c r="S11" s="654"/>
      <c r="T11" s="654">
        <f>AK11-AL11</f>
        <v>0</v>
      </c>
      <c r="U11" s="837"/>
      <c r="V11" s="664"/>
      <c r="W11" s="665"/>
      <c r="X11" s="665"/>
      <c r="Y11" s="665"/>
      <c r="Z11" s="673"/>
      <c r="AA11" s="666">
        <f t="shared" si="2"/>
        <v>0</v>
      </c>
      <c r="AB11" s="667"/>
      <c r="AC11" s="654"/>
      <c r="AD11" s="654"/>
      <c r="AE11" s="654"/>
      <c r="AF11" s="654"/>
      <c r="AG11" s="654"/>
      <c r="AH11" s="654"/>
      <c r="AI11" s="654"/>
      <c r="AJ11" s="654"/>
      <c r="AK11" s="654">
        <v>6084</v>
      </c>
      <c r="AL11" s="674">
        <f>4224+1860</f>
        <v>6084</v>
      </c>
      <c r="AM11" s="1014">
        <f t="shared" si="1"/>
        <v>0</v>
      </c>
      <c r="AN11" s="852" t="s">
        <v>453</v>
      </c>
    </row>
    <row r="12" spans="1:40" s="30" customFormat="1" ht="21.75" thickBot="1" x14ac:dyDescent="0.4">
      <c r="A12" s="845" t="s">
        <v>25</v>
      </c>
      <c r="B12" s="846">
        <v>1811</v>
      </c>
      <c r="C12" s="847" t="s">
        <v>161</v>
      </c>
      <c r="D12" s="849" t="s">
        <v>162</v>
      </c>
      <c r="E12" s="664"/>
      <c r="F12" s="798">
        <v>0</v>
      </c>
      <c r="G12" s="665">
        <v>0</v>
      </c>
      <c r="H12" s="665">
        <v>0</v>
      </c>
      <c r="I12" s="665">
        <v>0</v>
      </c>
      <c r="J12" s="666">
        <f t="shared" si="0"/>
        <v>0</v>
      </c>
      <c r="K12" s="667"/>
      <c r="L12" s="654"/>
      <c r="M12" s="654"/>
      <c r="N12" s="654"/>
      <c r="O12" s="654"/>
      <c r="P12" s="654"/>
      <c r="Q12" s="654">
        <f>AH12-AL12</f>
        <v>0</v>
      </c>
      <c r="R12" s="654"/>
      <c r="S12" s="654"/>
      <c r="T12" s="654"/>
      <c r="U12" s="837"/>
      <c r="V12" s="664"/>
      <c r="W12" s="665"/>
      <c r="X12" s="665"/>
      <c r="Y12" s="665"/>
      <c r="Z12" s="673"/>
      <c r="AA12" s="666">
        <f t="shared" si="2"/>
        <v>0</v>
      </c>
      <c r="AB12" s="667"/>
      <c r="AC12" s="654"/>
      <c r="AD12" s="654"/>
      <c r="AE12" s="654"/>
      <c r="AF12" s="654"/>
      <c r="AG12" s="654"/>
      <c r="AH12" s="654">
        <v>96400</v>
      </c>
      <c r="AI12" s="654"/>
      <c r="AJ12" s="654"/>
      <c r="AK12" s="654"/>
      <c r="AL12" s="674">
        <f>96300+100</f>
        <v>96400</v>
      </c>
      <c r="AM12" s="670">
        <f t="shared" si="1"/>
        <v>0</v>
      </c>
      <c r="AN12" s="852" t="s">
        <v>454</v>
      </c>
    </row>
    <row r="13" spans="1:40" s="30" customFormat="1" ht="21.75" thickBot="1" x14ac:dyDescent="0.4">
      <c r="A13" s="660" t="s">
        <v>25</v>
      </c>
      <c r="B13" s="676">
        <v>1812</v>
      </c>
      <c r="C13" s="662" t="s">
        <v>161</v>
      </c>
      <c r="D13" s="672" t="s">
        <v>162</v>
      </c>
      <c r="E13" s="697"/>
      <c r="F13" s="798">
        <v>0</v>
      </c>
      <c r="G13" s="665">
        <v>0</v>
      </c>
      <c r="H13" s="665">
        <v>0</v>
      </c>
      <c r="I13" s="665">
        <v>0</v>
      </c>
      <c r="J13" s="666">
        <f t="shared" si="0"/>
        <v>0</v>
      </c>
      <c r="K13" s="667">
        <v>0</v>
      </c>
      <c r="L13" s="688">
        <f>AC13-AL13</f>
        <v>0</v>
      </c>
      <c r="M13" s="654"/>
      <c r="N13" s="654"/>
      <c r="O13" s="654"/>
      <c r="P13" s="654"/>
      <c r="Q13" s="654"/>
      <c r="R13" s="654"/>
      <c r="S13" s="654"/>
      <c r="T13" s="654"/>
      <c r="U13" s="837"/>
      <c r="V13" s="664"/>
      <c r="W13" s="665"/>
      <c r="X13" s="665"/>
      <c r="Y13" s="665"/>
      <c r="Z13" s="673"/>
      <c r="AA13" s="666">
        <f t="shared" si="2"/>
        <v>0</v>
      </c>
      <c r="AB13" s="667"/>
      <c r="AC13" s="654">
        <v>411400</v>
      </c>
      <c r="AD13" s="654"/>
      <c r="AE13" s="654"/>
      <c r="AF13" s="654"/>
      <c r="AG13" s="654"/>
      <c r="AH13" s="654"/>
      <c r="AI13" s="654"/>
      <c r="AJ13" s="654"/>
      <c r="AK13" s="654"/>
      <c r="AL13" s="674">
        <f>72000+339400</f>
        <v>411400</v>
      </c>
      <c r="AM13" s="670">
        <f t="shared" si="1"/>
        <v>0</v>
      </c>
      <c r="AN13" s="677" t="s">
        <v>232</v>
      </c>
    </row>
    <row r="14" spans="1:40" s="30" customFormat="1" ht="21.75" thickBot="1" x14ac:dyDescent="0.4">
      <c r="A14" s="675" t="s">
        <v>25</v>
      </c>
      <c r="B14" s="676">
        <v>1813</v>
      </c>
      <c r="C14" s="682">
        <v>44873</v>
      </c>
      <c r="D14" s="683" t="s">
        <v>174</v>
      </c>
      <c r="E14" s="664"/>
      <c r="F14" s="798"/>
      <c r="G14" s="665">
        <v>0</v>
      </c>
      <c r="H14" s="665"/>
      <c r="I14" s="665"/>
      <c r="J14" s="666">
        <f t="shared" si="0"/>
        <v>0</v>
      </c>
      <c r="K14" s="667"/>
      <c r="L14" s="655"/>
      <c r="M14" s="655"/>
      <c r="N14" s="655"/>
      <c r="O14" s="655"/>
      <c r="P14" s="655"/>
      <c r="Q14" s="655"/>
      <c r="R14" s="655"/>
      <c r="S14" s="655"/>
      <c r="T14" s="655"/>
      <c r="U14" s="837"/>
      <c r="V14" s="664"/>
      <c r="W14" s="665"/>
      <c r="X14" s="665">
        <v>6500</v>
      </c>
      <c r="Y14" s="665"/>
      <c r="Z14" s="673"/>
      <c r="AA14" s="666">
        <f t="shared" si="2"/>
        <v>6500</v>
      </c>
      <c r="AB14" s="667"/>
      <c r="AC14" s="655"/>
      <c r="AD14" s="655"/>
      <c r="AE14" s="655"/>
      <c r="AF14" s="655"/>
      <c r="AG14" s="655"/>
      <c r="AH14" s="655"/>
      <c r="AI14" s="655"/>
      <c r="AJ14" s="655"/>
      <c r="AK14" s="655"/>
      <c r="AL14" s="674">
        <f>6400+100</f>
        <v>6500</v>
      </c>
      <c r="AM14" s="670">
        <f t="shared" si="1"/>
        <v>0</v>
      </c>
      <c r="AN14" s="677" t="s">
        <v>257</v>
      </c>
    </row>
    <row r="15" spans="1:40" s="381" customFormat="1" ht="21.75" thickBot="1" x14ac:dyDescent="0.4">
      <c r="A15" s="675" t="s">
        <v>25</v>
      </c>
      <c r="B15" s="661">
        <v>1813</v>
      </c>
      <c r="C15" s="682">
        <v>44873</v>
      </c>
      <c r="D15" s="683" t="s">
        <v>175</v>
      </c>
      <c r="E15" s="664"/>
      <c r="F15" s="798">
        <v>0</v>
      </c>
      <c r="G15" s="665"/>
      <c r="H15" s="665"/>
      <c r="I15" s="665"/>
      <c r="J15" s="666">
        <f t="shared" si="0"/>
        <v>0</v>
      </c>
      <c r="K15" s="667"/>
      <c r="L15" s="655"/>
      <c r="M15" s="655"/>
      <c r="N15" s="655"/>
      <c r="O15" s="655"/>
      <c r="P15" s="655"/>
      <c r="Q15" s="655"/>
      <c r="R15" s="655"/>
      <c r="S15" s="655"/>
      <c r="T15" s="655"/>
      <c r="U15" s="837"/>
      <c r="V15" s="664"/>
      <c r="W15" s="665">
        <v>6500</v>
      </c>
      <c r="X15" s="665"/>
      <c r="Y15" s="665"/>
      <c r="Z15" s="673"/>
      <c r="AA15" s="666">
        <f t="shared" si="2"/>
        <v>6500</v>
      </c>
      <c r="AB15" s="667"/>
      <c r="AC15" s="655"/>
      <c r="AD15" s="655"/>
      <c r="AE15" s="655"/>
      <c r="AF15" s="655"/>
      <c r="AG15" s="655"/>
      <c r="AH15" s="655"/>
      <c r="AI15" s="655"/>
      <c r="AJ15" s="655"/>
      <c r="AK15" s="655"/>
      <c r="AL15" s="674">
        <f>6470+30</f>
        <v>6500</v>
      </c>
      <c r="AM15" s="670">
        <f t="shared" si="1"/>
        <v>0</v>
      </c>
      <c r="AN15" s="677" t="s">
        <v>258</v>
      </c>
    </row>
    <row r="16" spans="1:40" s="381" customFormat="1" ht="21.75" thickBot="1" x14ac:dyDescent="0.4">
      <c r="A16" s="850" t="s">
        <v>25</v>
      </c>
      <c r="B16" s="846">
        <v>167772255</v>
      </c>
      <c r="C16" s="684" t="s">
        <v>192</v>
      </c>
      <c r="D16" s="685" t="s">
        <v>195</v>
      </c>
      <c r="E16" s="665"/>
      <c r="F16" s="798">
        <f t="shared" ref="F16:F23" si="3">W16-AK16</f>
        <v>0</v>
      </c>
      <c r="G16" s="665"/>
      <c r="H16" s="665"/>
      <c r="I16" s="665"/>
      <c r="J16" s="666">
        <f t="shared" si="0"/>
        <v>0</v>
      </c>
      <c r="K16" s="667"/>
      <c r="L16" s="655"/>
      <c r="M16" s="655"/>
      <c r="N16" s="655"/>
      <c r="O16" s="654">
        <f>AF16-AL16</f>
        <v>0</v>
      </c>
      <c r="P16" s="655"/>
      <c r="Q16" s="655"/>
      <c r="R16" s="655"/>
      <c r="S16" s="655"/>
      <c r="T16" s="655"/>
      <c r="U16" s="837"/>
      <c r="V16" s="665"/>
      <c r="W16" s="665"/>
      <c r="X16" s="665"/>
      <c r="Y16" s="665"/>
      <c r="Z16" s="686"/>
      <c r="AA16" s="666">
        <f t="shared" ref="AA16:AA23" si="4">SUM(W16:Z16)</f>
        <v>0</v>
      </c>
      <c r="AB16" s="667"/>
      <c r="AC16" s="655"/>
      <c r="AD16" s="655"/>
      <c r="AE16" s="655"/>
      <c r="AF16" s="655">
        <v>9879</v>
      </c>
      <c r="AG16" s="655"/>
      <c r="AH16" s="655"/>
      <c r="AI16" s="655"/>
      <c r="AJ16" s="655"/>
      <c r="AK16" s="687"/>
      <c r="AL16" s="669">
        <v>9879</v>
      </c>
      <c r="AM16" s="670">
        <f t="shared" si="1"/>
        <v>0</v>
      </c>
      <c r="AN16" s="852" t="s">
        <v>345</v>
      </c>
    </row>
    <row r="17" spans="1:40" s="30" customFormat="1" ht="21.75" thickBot="1" x14ac:dyDescent="0.4">
      <c r="A17" s="675" t="s">
        <v>25</v>
      </c>
      <c r="B17" s="661">
        <v>167772255</v>
      </c>
      <c r="C17" s="684" t="s">
        <v>192</v>
      </c>
      <c r="D17" s="685" t="s">
        <v>195</v>
      </c>
      <c r="E17" s="665"/>
      <c r="F17" s="798">
        <f t="shared" si="3"/>
        <v>0</v>
      </c>
      <c r="G17" s="665"/>
      <c r="H17" s="665"/>
      <c r="I17" s="665"/>
      <c r="J17" s="666">
        <f t="shared" ref="J17:J23" si="5">SUM(F17:I17)</f>
        <v>0</v>
      </c>
      <c r="K17" s="667">
        <f>AB17-AL17</f>
        <v>0</v>
      </c>
      <c r="L17" s="655"/>
      <c r="M17" s="655"/>
      <c r="N17" s="655"/>
      <c r="O17" s="654"/>
      <c r="P17" s="655"/>
      <c r="Q17" s="655"/>
      <c r="R17" s="655"/>
      <c r="S17" s="655"/>
      <c r="T17" s="655"/>
      <c r="U17" s="837"/>
      <c r="V17" s="665"/>
      <c r="W17" s="665"/>
      <c r="X17" s="665"/>
      <c r="Y17" s="665"/>
      <c r="Z17" s="686"/>
      <c r="AA17" s="666">
        <f t="shared" si="4"/>
        <v>0</v>
      </c>
      <c r="AB17" s="667">
        <v>2478100</v>
      </c>
      <c r="AC17" s="655"/>
      <c r="AD17" s="655"/>
      <c r="AE17" s="655"/>
      <c r="AF17" s="655"/>
      <c r="AG17" s="655"/>
      <c r="AH17" s="655"/>
      <c r="AI17" s="655"/>
      <c r="AJ17" s="655"/>
      <c r="AK17" s="687"/>
      <c r="AL17" s="669">
        <v>2478100</v>
      </c>
      <c r="AM17" s="670">
        <f t="shared" si="1"/>
        <v>0</v>
      </c>
      <c r="AN17" s="677" t="s">
        <v>233</v>
      </c>
    </row>
    <row r="18" spans="1:40" s="30" customFormat="1" ht="21.75" thickBot="1" x14ac:dyDescent="0.4">
      <c r="A18" s="850" t="s">
        <v>25</v>
      </c>
      <c r="B18" s="846">
        <v>167772268</v>
      </c>
      <c r="C18" s="684" t="s">
        <v>193</v>
      </c>
      <c r="D18" s="685" t="s">
        <v>187</v>
      </c>
      <c r="E18" s="665"/>
      <c r="F18" s="798">
        <f t="shared" si="3"/>
        <v>0</v>
      </c>
      <c r="G18" s="665"/>
      <c r="H18" s="665"/>
      <c r="I18" s="665"/>
      <c r="J18" s="666"/>
      <c r="K18" s="667"/>
      <c r="L18" s="655"/>
      <c r="M18" s="655"/>
      <c r="N18" s="655"/>
      <c r="O18" s="654">
        <f>AF18-AL18</f>
        <v>0</v>
      </c>
      <c r="P18" s="655"/>
      <c r="Q18" s="655"/>
      <c r="R18" s="655"/>
      <c r="S18" s="655"/>
      <c r="T18" s="655"/>
      <c r="U18" s="837"/>
      <c r="V18" s="665"/>
      <c r="W18" s="665"/>
      <c r="X18" s="665"/>
      <c r="Y18" s="665"/>
      <c r="Z18" s="686"/>
      <c r="AA18" s="666">
        <f t="shared" si="4"/>
        <v>0</v>
      </c>
      <c r="AB18" s="667"/>
      <c r="AC18" s="655"/>
      <c r="AD18" s="655"/>
      <c r="AE18" s="655"/>
      <c r="AF18" s="655">
        <v>520</v>
      </c>
      <c r="AG18" s="655"/>
      <c r="AH18" s="655"/>
      <c r="AI18" s="655"/>
      <c r="AJ18" s="655"/>
      <c r="AK18" s="687"/>
      <c r="AL18" s="669">
        <v>520</v>
      </c>
      <c r="AM18" s="670">
        <f t="shared" si="1"/>
        <v>0</v>
      </c>
      <c r="AN18" s="852" t="s">
        <v>346</v>
      </c>
    </row>
    <row r="19" spans="1:40" s="379" customFormat="1" ht="21.75" thickBot="1" x14ac:dyDescent="0.4">
      <c r="A19" s="779" t="s">
        <v>25</v>
      </c>
      <c r="B19" s="699">
        <v>167772268</v>
      </c>
      <c r="C19" s="780" t="s">
        <v>193</v>
      </c>
      <c r="D19" s="781" t="s">
        <v>187</v>
      </c>
      <c r="E19" s="703"/>
      <c r="F19" s="801">
        <f t="shared" si="3"/>
        <v>0</v>
      </c>
      <c r="G19" s="703"/>
      <c r="H19" s="703"/>
      <c r="I19" s="703"/>
      <c r="J19" s="704">
        <f t="shared" si="5"/>
        <v>0</v>
      </c>
      <c r="K19" s="705">
        <f t="shared" ref="K19:K27" si="6">AB19-AL19</f>
        <v>0</v>
      </c>
      <c r="L19" s="782"/>
      <c r="M19" s="782"/>
      <c r="N19" s="782"/>
      <c r="O19" s="782"/>
      <c r="P19" s="782"/>
      <c r="Q19" s="782"/>
      <c r="R19" s="782"/>
      <c r="S19" s="782"/>
      <c r="T19" s="782"/>
      <c r="U19" s="837"/>
      <c r="V19" s="703"/>
      <c r="W19" s="703"/>
      <c r="X19" s="703"/>
      <c r="Y19" s="703"/>
      <c r="Z19" s="783"/>
      <c r="AA19" s="704">
        <f t="shared" si="4"/>
        <v>0</v>
      </c>
      <c r="AB19" s="705">
        <v>548900</v>
      </c>
      <c r="AC19" s="782"/>
      <c r="AD19" s="782"/>
      <c r="AE19" s="782"/>
      <c r="AF19" s="782"/>
      <c r="AG19" s="782"/>
      <c r="AH19" s="782"/>
      <c r="AI19" s="782"/>
      <c r="AJ19" s="782"/>
      <c r="AK19" s="784"/>
      <c r="AL19" s="775">
        <v>548900</v>
      </c>
      <c r="AM19" s="785">
        <f t="shared" si="1"/>
        <v>0</v>
      </c>
      <c r="AN19" s="774" t="s">
        <v>274</v>
      </c>
    </row>
    <row r="20" spans="1:40" s="379" customFormat="1" ht="21.75" thickBot="1" x14ac:dyDescent="0.4">
      <c r="A20" s="850" t="s">
        <v>25</v>
      </c>
      <c r="B20" s="846">
        <v>167772268</v>
      </c>
      <c r="C20" s="684" t="s">
        <v>193</v>
      </c>
      <c r="D20" s="685" t="s">
        <v>187</v>
      </c>
      <c r="E20" s="665"/>
      <c r="F20" s="798">
        <f>W20-AL20</f>
        <v>0</v>
      </c>
      <c r="G20" s="665">
        <v>0</v>
      </c>
      <c r="H20" s="665">
        <v>0</v>
      </c>
      <c r="I20" s="665">
        <v>0</v>
      </c>
      <c r="J20" s="666">
        <f t="shared" si="5"/>
        <v>0</v>
      </c>
      <c r="K20" s="667">
        <v>0</v>
      </c>
      <c r="L20" s="655"/>
      <c r="M20" s="655"/>
      <c r="N20" s="655"/>
      <c r="O20" s="654">
        <v>0</v>
      </c>
      <c r="P20" s="655"/>
      <c r="Q20" s="655"/>
      <c r="R20" s="655"/>
      <c r="S20" s="655"/>
      <c r="T20" s="655"/>
      <c r="U20" s="837"/>
      <c r="V20" s="665"/>
      <c r="W20" s="665">
        <v>120000</v>
      </c>
      <c r="X20" s="665"/>
      <c r="Y20" s="665"/>
      <c r="Z20" s="686"/>
      <c r="AA20" s="666">
        <f t="shared" si="4"/>
        <v>120000</v>
      </c>
      <c r="AB20" s="667"/>
      <c r="AC20" s="655"/>
      <c r="AD20" s="655"/>
      <c r="AE20" s="655"/>
      <c r="AF20" s="655"/>
      <c r="AG20" s="655"/>
      <c r="AH20" s="655"/>
      <c r="AI20" s="655"/>
      <c r="AJ20" s="655"/>
      <c r="AK20" s="687"/>
      <c r="AL20" s="669">
        <v>120000</v>
      </c>
      <c r="AM20" s="878">
        <f t="shared" si="1"/>
        <v>0</v>
      </c>
      <c r="AN20" s="852" t="s">
        <v>310</v>
      </c>
    </row>
    <row r="21" spans="1:40" s="379" customFormat="1" ht="21.75" thickBot="1" x14ac:dyDescent="0.4">
      <c r="A21" s="850" t="s">
        <v>25</v>
      </c>
      <c r="B21" s="846">
        <v>167772268</v>
      </c>
      <c r="C21" s="684" t="s">
        <v>193</v>
      </c>
      <c r="D21" s="685" t="s">
        <v>187</v>
      </c>
      <c r="E21" s="665"/>
      <c r="F21" s="798">
        <f t="shared" si="3"/>
        <v>0</v>
      </c>
      <c r="G21" s="665">
        <f>X21-AL21</f>
        <v>0</v>
      </c>
      <c r="H21" s="665">
        <v>0</v>
      </c>
      <c r="I21" s="665">
        <v>0</v>
      </c>
      <c r="J21" s="666">
        <f t="shared" si="5"/>
        <v>0</v>
      </c>
      <c r="K21" s="667">
        <v>0</v>
      </c>
      <c r="L21" s="655"/>
      <c r="M21" s="655"/>
      <c r="N21" s="655"/>
      <c r="O21" s="654">
        <v>0</v>
      </c>
      <c r="P21" s="655"/>
      <c r="Q21" s="655"/>
      <c r="R21" s="655"/>
      <c r="S21" s="655"/>
      <c r="T21" s="655"/>
      <c r="U21" s="837"/>
      <c r="V21" s="665"/>
      <c r="W21" s="665"/>
      <c r="X21" s="665">
        <v>90000</v>
      </c>
      <c r="Y21" s="665"/>
      <c r="Z21" s="686"/>
      <c r="AA21" s="666">
        <f t="shared" si="4"/>
        <v>90000</v>
      </c>
      <c r="AB21" s="667"/>
      <c r="AC21" s="655"/>
      <c r="AD21" s="655"/>
      <c r="AE21" s="655"/>
      <c r="AF21" s="655"/>
      <c r="AG21" s="655"/>
      <c r="AH21" s="655"/>
      <c r="AI21" s="655"/>
      <c r="AJ21" s="655"/>
      <c r="AK21" s="687"/>
      <c r="AL21" s="669">
        <v>90000</v>
      </c>
      <c r="AM21" s="878">
        <f t="shared" si="1"/>
        <v>0</v>
      </c>
      <c r="AN21" s="852" t="s">
        <v>310</v>
      </c>
    </row>
    <row r="22" spans="1:40" s="382" customFormat="1" ht="21.75" thickBot="1" x14ac:dyDescent="0.4">
      <c r="A22" s="850" t="s">
        <v>25</v>
      </c>
      <c r="B22" s="846">
        <v>167772269</v>
      </c>
      <c r="C22" s="684" t="s">
        <v>193</v>
      </c>
      <c r="D22" s="685" t="s">
        <v>187</v>
      </c>
      <c r="E22" s="665"/>
      <c r="F22" s="798">
        <f t="shared" si="3"/>
        <v>0</v>
      </c>
      <c r="G22" s="665">
        <v>0</v>
      </c>
      <c r="H22" s="665">
        <f>Y22-AL22</f>
        <v>0</v>
      </c>
      <c r="I22" s="665">
        <v>0</v>
      </c>
      <c r="J22" s="666">
        <f t="shared" si="5"/>
        <v>0</v>
      </c>
      <c r="K22" s="667">
        <v>0</v>
      </c>
      <c r="L22" s="655"/>
      <c r="M22" s="655"/>
      <c r="N22" s="655"/>
      <c r="O22" s="654">
        <v>0</v>
      </c>
      <c r="P22" s="655"/>
      <c r="Q22" s="655"/>
      <c r="R22" s="655"/>
      <c r="S22" s="655"/>
      <c r="T22" s="655"/>
      <c r="U22" s="837"/>
      <c r="V22" s="665"/>
      <c r="W22" s="665"/>
      <c r="X22" s="665"/>
      <c r="Y22" s="665">
        <v>75000</v>
      </c>
      <c r="Z22" s="686"/>
      <c r="AA22" s="666">
        <f t="shared" si="4"/>
        <v>75000</v>
      </c>
      <c r="AB22" s="667"/>
      <c r="AC22" s="655"/>
      <c r="AD22" s="655"/>
      <c r="AE22" s="655"/>
      <c r="AF22" s="655"/>
      <c r="AG22" s="655"/>
      <c r="AH22" s="655"/>
      <c r="AI22" s="655"/>
      <c r="AJ22" s="655"/>
      <c r="AK22" s="687"/>
      <c r="AL22" s="669">
        <v>75000</v>
      </c>
      <c r="AM22" s="878">
        <f t="shared" si="1"/>
        <v>0</v>
      </c>
      <c r="AN22" s="852" t="s">
        <v>310</v>
      </c>
    </row>
    <row r="23" spans="1:40" s="379" customFormat="1" ht="21.75" thickBot="1" x14ac:dyDescent="0.4">
      <c r="A23" s="850" t="s">
        <v>25</v>
      </c>
      <c r="B23" s="846">
        <v>167772269</v>
      </c>
      <c r="C23" s="684" t="s">
        <v>193</v>
      </c>
      <c r="D23" s="685" t="s">
        <v>187</v>
      </c>
      <c r="E23" s="665"/>
      <c r="F23" s="798">
        <f t="shared" si="3"/>
        <v>0</v>
      </c>
      <c r="G23" s="665"/>
      <c r="H23" s="665"/>
      <c r="I23" s="665">
        <f>Z23-AL23</f>
        <v>0</v>
      </c>
      <c r="J23" s="666">
        <f t="shared" si="5"/>
        <v>0</v>
      </c>
      <c r="K23" s="667"/>
      <c r="L23" s="655"/>
      <c r="M23" s="655"/>
      <c r="N23" s="655"/>
      <c r="O23" s="654">
        <v>0</v>
      </c>
      <c r="P23" s="655"/>
      <c r="Q23" s="655"/>
      <c r="R23" s="655"/>
      <c r="S23" s="655"/>
      <c r="T23" s="655"/>
      <c r="U23" s="837"/>
      <c r="V23" s="665"/>
      <c r="W23" s="665"/>
      <c r="X23" s="665"/>
      <c r="Y23" s="665"/>
      <c r="Z23" s="686">
        <v>63000</v>
      </c>
      <c r="AA23" s="666">
        <f t="shared" si="4"/>
        <v>63000</v>
      </c>
      <c r="AB23" s="667"/>
      <c r="AC23" s="655"/>
      <c r="AD23" s="655"/>
      <c r="AE23" s="655"/>
      <c r="AF23" s="655"/>
      <c r="AG23" s="655"/>
      <c r="AH23" s="655"/>
      <c r="AI23" s="655"/>
      <c r="AJ23" s="655"/>
      <c r="AK23" s="687"/>
      <c r="AL23" s="669">
        <v>63000</v>
      </c>
      <c r="AM23" s="878">
        <f t="shared" si="1"/>
        <v>0</v>
      </c>
      <c r="AN23" s="852" t="s">
        <v>310</v>
      </c>
    </row>
    <row r="24" spans="1:40" s="381" customFormat="1" ht="21.75" thickBot="1" x14ac:dyDescent="0.4">
      <c r="A24" s="675" t="s">
        <v>25</v>
      </c>
      <c r="B24" s="661">
        <v>167772248</v>
      </c>
      <c r="C24" s="684">
        <v>45072</v>
      </c>
      <c r="D24" s="685">
        <v>45229</v>
      </c>
      <c r="E24" s="665">
        <f>V24-AL24</f>
        <v>0</v>
      </c>
      <c r="F24" s="798"/>
      <c r="G24" s="665"/>
      <c r="H24" s="665"/>
      <c r="I24" s="665"/>
      <c r="J24" s="666"/>
      <c r="K24" s="667"/>
      <c r="L24" s="654"/>
      <c r="M24" s="654"/>
      <c r="N24" s="654"/>
      <c r="O24" s="654"/>
      <c r="P24" s="655"/>
      <c r="Q24" s="655"/>
      <c r="R24" s="655"/>
      <c r="S24" s="655"/>
      <c r="T24" s="655"/>
      <c r="U24" s="837"/>
      <c r="V24" s="665">
        <v>262500</v>
      </c>
      <c r="W24" s="665"/>
      <c r="X24" s="665"/>
      <c r="Y24" s="665"/>
      <c r="Z24" s="686"/>
      <c r="AA24" s="666"/>
      <c r="AB24" s="667"/>
      <c r="AC24" s="655"/>
      <c r="AD24" s="655"/>
      <c r="AE24" s="655"/>
      <c r="AF24" s="655"/>
      <c r="AG24" s="655"/>
      <c r="AH24" s="655"/>
      <c r="AI24" s="655"/>
      <c r="AJ24" s="655"/>
      <c r="AK24" s="687"/>
      <c r="AL24" s="669">
        <f>230000+32500</f>
        <v>262500</v>
      </c>
      <c r="AM24" s="670">
        <f t="shared" si="1"/>
        <v>0</v>
      </c>
      <c r="AN24" s="677" t="s">
        <v>234</v>
      </c>
    </row>
    <row r="25" spans="1:40" s="381" customFormat="1" ht="21.75" thickBot="1" x14ac:dyDescent="0.4">
      <c r="A25" s="675" t="s">
        <v>25</v>
      </c>
      <c r="B25" s="661">
        <v>167772303</v>
      </c>
      <c r="C25" s="684" t="s">
        <v>204</v>
      </c>
      <c r="D25" s="685" t="s">
        <v>203</v>
      </c>
      <c r="E25" s="665">
        <f>V25-AJ25</f>
        <v>0</v>
      </c>
      <c r="F25" s="798"/>
      <c r="G25" s="665"/>
      <c r="H25" s="665"/>
      <c r="I25" s="665"/>
      <c r="J25" s="666"/>
      <c r="K25" s="667">
        <f t="shared" si="6"/>
        <v>0</v>
      </c>
      <c r="L25" s="654"/>
      <c r="M25" s="654"/>
      <c r="N25" s="654"/>
      <c r="O25" s="654"/>
      <c r="P25" s="655"/>
      <c r="Q25" s="655"/>
      <c r="R25" s="655"/>
      <c r="S25" s="655"/>
      <c r="T25" s="655"/>
      <c r="U25" s="837"/>
      <c r="V25" s="665"/>
      <c r="W25" s="665"/>
      <c r="X25" s="665"/>
      <c r="Y25" s="665"/>
      <c r="Z25" s="686"/>
      <c r="AA25" s="666"/>
      <c r="AB25" s="667">
        <v>871600</v>
      </c>
      <c r="AC25" s="655"/>
      <c r="AD25" s="655"/>
      <c r="AE25" s="655"/>
      <c r="AF25" s="655"/>
      <c r="AG25" s="655"/>
      <c r="AH25" s="655"/>
      <c r="AI25" s="655"/>
      <c r="AJ25" s="655"/>
      <c r="AK25" s="687"/>
      <c r="AL25" s="669">
        <v>871600</v>
      </c>
      <c r="AM25" s="670">
        <f t="shared" ref="AM25:AM50" si="7">(V25+W25+X25+Y25+Z25+AB25+AC25+AD25+AE25+AF25+AG25+AH25+AI25+AJ25+AK25)-AL25</f>
        <v>0</v>
      </c>
      <c r="AN25" s="677" t="s">
        <v>221</v>
      </c>
    </row>
    <row r="26" spans="1:40" s="382" customFormat="1" ht="18.75" customHeight="1" thickBot="1" x14ac:dyDescent="0.4">
      <c r="A26" s="675" t="s">
        <v>25</v>
      </c>
      <c r="B26" s="661">
        <v>167772289</v>
      </c>
      <c r="C26" s="684" t="s">
        <v>205</v>
      </c>
      <c r="D26" s="685" t="s">
        <v>206</v>
      </c>
      <c r="E26" s="665">
        <f>V26-AJ26</f>
        <v>0</v>
      </c>
      <c r="F26" s="798"/>
      <c r="G26" s="665"/>
      <c r="H26" s="665"/>
      <c r="I26" s="665"/>
      <c r="J26" s="666"/>
      <c r="K26" s="667">
        <f t="shared" si="6"/>
        <v>0</v>
      </c>
      <c r="L26" s="654"/>
      <c r="M26" s="654"/>
      <c r="N26" s="654"/>
      <c r="O26" s="654"/>
      <c r="P26" s="655"/>
      <c r="Q26" s="655"/>
      <c r="R26" s="655"/>
      <c r="S26" s="655"/>
      <c r="T26" s="655"/>
      <c r="U26" s="837"/>
      <c r="V26" s="665"/>
      <c r="W26" s="665"/>
      <c r="X26" s="665"/>
      <c r="Y26" s="665"/>
      <c r="Z26" s="686"/>
      <c r="AA26" s="666"/>
      <c r="AB26" s="667">
        <v>175000</v>
      </c>
      <c r="AC26" s="655"/>
      <c r="AD26" s="655"/>
      <c r="AE26" s="655"/>
      <c r="AF26" s="655"/>
      <c r="AG26" s="655"/>
      <c r="AH26" s="655"/>
      <c r="AI26" s="655"/>
      <c r="AJ26" s="655"/>
      <c r="AK26" s="687"/>
      <c r="AL26" s="669">
        <v>175000</v>
      </c>
      <c r="AM26" s="670">
        <f t="shared" si="7"/>
        <v>0</v>
      </c>
      <c r="AN26" s="677" t="s">
        <v>236</v>
      </c>
    </row>
    <row r="27" spans="1:40" s="382" customFormat="1" ht="21.75" thickBot="1" x14ac:dyDescent="0.4">
      <c r="A27" s="675" t="s">
        <v>25</v>
      </c>
      <c r="B27" s="661">
        <v>167772292</v>
      </c>
      <c r="C27" s="684" t="s">
        <v>205</v>
      </c>
      <c r="D27" s="685" t="s">
        <v>203</v>
      </c>
      <c r="E27" s="665">
        <f>V27-AJ27</f>
        <v>0</v>
      </c>
      <c r="F27" s="798"/>
      <c r="G27" s="665"/>
      <c r="H27" s="665"/>
      <c r="I27" s="665"/>
      <c r="J27" s="666"/>
      <c r="K27" s="667">
        <f t="shared" si="6"/>
        <v>0</v>
      </c>
      <c r="L27" s="654"/>
      <c r="M27" s="654"/>
      <c r="N27" s="654"/>
      <c r="O27" s="654"/>
      <c r="P27" s="655"/>
      <c r="Q27" s="655"/>
      <c r="R27" s="655"/>
      <c r="S27" s="655"/>
      <c r="T27" s="655"/>
      <c r="U27" s="837"/>
      <c r="V27" s="665"/>
      <c r="W27" s="665"/>
      <c r="X27" s="665"/>
      <c r="Y27" s="665"/>
      <c r="Z27" s="686"/>
      <c r="AA27" s="666"/>
      <c r="AB27" s="667">
        <v>200000</v>
      </c>
      <c r="AC27" s="655"/>
      <c r="AD27" s="655"/>
      <c r="AE27" s="655"/>
      <c r="AF27" s="655"/>
      <c r="AG27" s="655"/>
      <c r="AH27" s="655"/>
      <c r="AI27" s="655"/>
      <c r="AJ27" s="655"/>
      <c r="AK27" s="687"/>
      <c r="AL27" s="669">
        <v>200000</v>
      </c>
      <c r="AM27" s="670">
        <f t="shared" si="7"/>
        <v>0</v>
      </c>
      <c r="AN27" s="677" t="s">
        <v>221</v>
      </c>
    </row>
    <row r="28" spans="1:40" s="379" customFormat="1" ht="16.5" customHeight="1" thickBot="1" x14ac:dyDescent="0.4">
      <c r="A28" s="675" t="s">
        <v>25</v>
      </c>
      <c r="B28" s="661">
        <v>167772292</v>
      </c>
      <c r="C28" s="684" t="s">
        <v>205</v>
      </c>
      <c r="D28" s="685" t="s">
        <v>203</v>
      </c>
      <c r="E28" s="665">
        <f>V28-AJ28</f>
        <v>0</v>
      </c>
      <c r="F28" s="798"/>
      <c r="G28" s="665"/>
      <c r="H28" s="665"/>
      <c r="I28" s="665"/>
      <c r="J28" s="666"/>
      <c r="K28" s="667">
        <v>0</v>
      </c>
      <c r="L28" s="654"/>
      <c r="M28" s="654"/>
      <c r="N28" s="654"/>
      <c r="O28" s="654"/>
      <c r="P28" s="655"/>
      <c r="Q28" s="654">
        <f>AH28-AL28</f>
        <v>0</v>
      </c>
      <c r="R28" s="655"/>
      <c r="S28" s="655"/>
      <c r="T28" s="655"/>
      <c r="U28" s="837"/>
      <c r="V28" s="665"/>
      <c r="W28" s="665"/>
      <c r="X28" s="665"/>
      <c r="Y28" s="665"/>
      <c r="Z28" s="686"/>
      <c r="AA28" s="666"/>
      <c r="AB28" s="667"/>
      <c r="AC28" s="655"/>
      <c r="AD28" s="655"/>
      <c r="AE28" s="655"/>
      <c r="AF28" s="655"/>
      <c r="AG28" s="655"/>
      <c r="AH28" s="655">
        <v>200000</v>
      </c>
      <c r="AI28" s="655"/>
      <c r="AJ28" s="655"/>
      <c r="AK28" s="687"/>
      <c r="AL28" s="669">
        <v>200000</v>
      </c>
      <c r="AM28" s="670">
        <f t="shared" si="7"/>
        <v>0</v>
      </c>
      <c r="AN28" s="677" t="s">
        <v>237</v>
      </c>
    </row>
    <row r="29" spans="1:40" s="30" customFormat="1" ht="18.75" customHeight="1" thickBot="1" x14ac:dyDescent="0.4">
      <c r="A29" s="675" t="s">
        <v>25</v>
      </c>
      <c r="B29" s="661">
        <v>167772294</v>
      </c>
      <c r="C29" s="684" t="s">
        <v>204</v>
      </c>
      <c r="D29" s="685">
        <v>45381</v>
      </c>
      <c r="E29" s="665">
        <f>V29-AL29</f>
        <v>0</v>
      </c>
      <c r="F29" s="798"/>
      <c r="G29" s="665"/>
      <c r="H29" s="665"/>
      <c r="I29" s="665"/>
      <c r="J29" s="666"/>
      <c r="K29" s="667"/>
      <c r="L29" s="654"/>
      <c r="M29" s="654"/>
      <c r="N29" s="654"/>
      <c r="O29" s="654"/>
      <c r="P29" s="655"/>
      <c r="Q29" s="655"/>
      <c r="R29" s="655"/>
      <c r="S29" s="655"/>
      <c r="T29" s="655"/>
      <c r="U29" s="837"/>
      <c r="V29" s="665">
        <v>250000</v>
      </c>
      <c r="W29" s="665"/>
      <c r="X29" s="665"/>
      <c r="Y29" s="665"/>
      <c r="Z29" s="686"/>
      <c r="AA29" s="666"/>
      <c r="AB29" s="667"/>
      <c r="AC29" s="655"/>
      <c r="AD29" s="655"/>
      <c r="AE29" s="655"/>
      <c r="AF29" s="655"/>
      <c r="AG29" s="655"/>
      <c r="AH29" s="655"/>
      <c r="AI29" s="655"/>
      <c r="AJ29" s="655"/>
      <c r="AK29" s="687"/>
      <c r="AL29" s="669">
        <f>90000+160000</f>
        <v>250000</v>
      </c>
      <c r="AM29" s="670">
        <f t="shared" si="7"/>
        <v>0</v>
      </c>
      <c r="AN29" s="677" t="s">
        <v>235</v>
      </c>
    </row>
    <row r="30" spans="1:40" s="379" customFormat="1" ht="18" customHeight="1" thickBot="1" x14ac:dyDescent="0.4">
      <c r="A30" s="675" t="s">
        <v>25</v>
      </c>
      <c r="B30" s="661">
        <v>167772305</v>
      </c>
      <c r="C30" s="684" t="s">
        <v>208</v>
      </c>
      <c r="D30" s="685" t="s">
        <v>203</v>
      </c>
      <c r="E30" s="665"/>
      <c r="F30" s="798"/>
      <c r="G30" s="665"/>
      <c r="H30" s="665"/>
      <c r="I30" s="665"/>
      <c r="J30" s="666"/>
      <c r="K30" s="667"/>
      <c r="L30" s="654">
        <f>AC30-AL30</f>
        <v>0</v>
      </c>
      <c r="M30" s="654"/>
      <c r="N30" s="654"/>
      <c r="O30" s="654"/>
      <c r="P30" s="655"/>
      <c r="Q30" s="655"/>
      <c r="R30" s="655"/>
      <c r="S30" s="655"/>
      <c r="T30" s="655"/>
      <c r="U30" s="837"/>
      <c r="V30" s="665"/>
      <c r="W30" s="665"/>
      <c r="X30" s="665"/>
      <c r="Y30" s="665"/>
      <c r="Z30" s="686"/>
      <c r="AA30" s="666"/>
      <c r="AB30" s="667"/>
      <c r="AC30" s="655">
        <v>450000</v>
      </c>
      <c r="AD30" s="655"/>
      <c r="AE30" s="655"/>
      <c r="AF30" s="655"/>
      <c r="AG30" s="655"/>
      <c r="AH30" s="655"/>
      <c r="AI30" s="655"/>
      <c r="AJ30" s="655"/>
      <c r="AK30" s="687"/>
      <c r="AL30" s="669">
        <v>450000</v>
      </c>
      <c r="AM30" s="670">
        <f t="shared" si="7"/>
        <v>0</v>
      </c>
      <c r="AN30" s="677" t="s">
        <v>286</v>
      </c>
    </row>
    <row r="31" spans="1:40" s="402" customFormat="1" ht="16.5" customHeight="1" thickBot="1" x14ac:dyDescent="0.4">
      <c r="A31" s="675" t="s">
        <v>25</v>
      </c>
      <c r="B31" s="661">
        <v>167772329</v>
      </c>
      <c r="C31" s="684" t="s">
        <v>210</v>
      </c>
      <c r="D31" s="685" t="s">
        <v>207</v>
      </c>
      <c r="E31" s="665">
        <f>V31-AL31</f>
        <v>0</v>
      </c>
      <c r="F31" s="798"/>
      <c r="G31" s="665"/>
      <c r="H31" s="665"/>
      <c r="I31" s="665"/>
      <c r="J31" s="666"/>
      <c r="K31" s="750"/>
      <c r="L31" s="654"/>
      <c r="M31" s="654"/>
      <c r="N31" s="654"/>
      <c r="O31" s="654"/>
      <c r="P31" s="655"/>
      <c r="Q31" s="654"/>
      <c r="R31" s="655"/>
      <c r="S31" s="655"/>
      <c r="T31" s="655"/>
      <c r="U31" s="837"/>
      <c r="V31" s="665">
        <v>250000</v>
      </c>
      <c r="W31" s="665"/>
      <c r="X31" s="665"/>
      <c r="Y31" s="665"/>
      <c r="Z31" s="686"/>
      <c r="AA31" s="666"/>
      <c r="AB31" s="667"/>
      <c r="AC31" s="655"/>
      <c r="AD31" s="655"/>
      <c r="AE31" s="655"/>
      <c r="AF31" s="655"/>
      <c r="AG31" s="655"/>
      <c r="AH31" s="655"/>
      <c r="AI31" s="655"/>
      <c r="AJ31" s="655"/>
      <c r="AK31" s="687"/>
      <c r="AL31" s="669">
        <v>250000</v>
      </c>
      <c r="AM31" s="670">
        <f t="shared" si="7"/>
        <v>0</v>
      </c>
      <c r="AN31" s="677" t="s">
        <v>264</v>
      </c>
    </row>
    <row r="32" spans="1:40" s="379" customFormat="1" ht="21.75" thickBot="1" x14ac:dyDescent="0.4">
      <c r="A32" s="850" t="s">
        <v>25</v>
      </c>
      <c r="B32" s="846">
        <v>167772332</v>
      </c>
      <c r="C32" s="903">
        <v>45279</v>
      </c>
      <c r="D32" s="863">
        <v>45381</v>
      </c>
      <c r="E32" s="665"/>
      <c r="F32" s="798"/>
      <c r="G32" s="665"/>
      <c r="H32" s="665"/>
      <c r="I32" s="665"/>
      <c r="J32" s="666"/>
      <c r="K32" s="667">
        <f>AB32-AL32</f>
        <v>0</v>
      </c>
      <c r="L32" s="655"/>
      <c r="M32" s="655"/>
      <c r="N32" s="655"/>
      <c r="O32" s="655"/>
      <c r="P32" s="655"/>
      <c r="Q32" s="655"/>
      <c r="R32" s="655"/>
      <c r="S32" s="655"/>
      <c r="T32" s="655"/>
      <c r="U32" s="837"/>
      <c r="V32" s="665"/>
      <c r="W32" s="665"/>
      <c r="X32" s="665"/>
      <c r="Y32" s="665"/>
      <c r="Z32" s="686"/>
      <c r="AA32" s="666"/>
      <c r="AB32" s="667">
        <v>2500000</v>
      </c>
      <c r="AC32" s="655"/>
      <c r="AD32" s="655"/>
      <c r="AE32" s="655"/>
      <c r="AF32" s="655"/>
      <c r="AG32" s="655"/>
      <c r="AH32" s="655"/>
      <c r="AI32" s="655"/>
      <c r="AJ32" s="655"/>
      <c r="AK32" s="687"/>
      <c r="AL32" s="669">
        <f>300000+2200000</f>
        <v>2500000</v>
      </c>
      <c r="AM32" s="791">
        <f t="shared" si="7"/>
        <v>0</v>
      </c>
      <c r="AN32" s="852" t="s">
        <v>347</v>
      </c>
    </row>
    <row r="33" spans="1:40" s="379" customFormat="1" ht="21.75" thickBot="1" x14ac:dyDescent="0.4">
      <c r="A33" s="839" t="s">
        <v>25</v>
      </c>
      <c r="B33" s="858">
        <v>167772350</v>
      </c>
      <c r="C33" s="865">
        <v>45322</v>
      </c>
      <c r="D33" s="857">
        <v>45412</v>
      </c>
      <c r="E33" s="347"/>
      <c r="F33" s="804"/>
      <c r="G33" s="347"/>
      <c r="H33" s="347"/>
      <c r="I33" s="347"/>
      <c r="J33" s="719"/>
      <c r="K33" s="348">
        <f>AB33-AL33</f>
        <v>0</v>
      </c>
      <c r="L33" s="717"/>
      <c r="M33" s="717"/>
      <c r="N33" s="717"/>
      <c r="O33" s="717"/>
      <c r="P33" s="405"/>
      <c r="Q33" s="717"/>
      <c r="R33" s="405"/>
      <c r="S33" s="405"/>
      <c r="T33" s="405"/>
      <c r="U33" s="837"/>
      <c r="V33" s="347"/>
      <c r="W33" s="347"/>
      <c r="X33" s="347"/>
      <c r="Y33" s="347"/>
      <c r="Z33" s="718"/>
      <c r="AA33" s="719"/>
      <c r="AB33" s="348">
        <v>1000000</v>
      </c>
      <c r="AC33" s="405"/>
      <c r="AD33" s="405"/>
      <c r="AE33" s="405"/>
      <c r="AF33" s="405"/>
      <c r="AG33" s="405"/>
      <c r="AH33" s="405"/>
      <c r="AI33" s="405"/>
      <c r="AJ33" s="405"/>
      <c r="AK33" s="720"/>
      <c r="AL33" s="721">
        <f>98300+901700</f>
        <v>1000000</v>
      </c>
      <c r="AM33" s="722">
        <f t="shared" si="7"/>
        <v>0</v>
      </c>
      <c r="AN33" s="838" t="s">
        <v>290</v>
      </c>
    </row>
    <row r="34" spans="1:40" s="379" customFormat="1" ht="21.75" thickBot="1" x14ac:dyDescent="0.4">
      <c r="A34" s="839" t="s">
        <v>25</v>
      </c>
      <c r="B34" s="858">
        <v>167772352</v>
      </c>
      <c r="C34" s="865">
        <v>45323</v>
      </c>
      <c r="D34" s="857">
        <v>45412</v>
      </c>
      <c r="E34" s="347"/>
      <c r="F34" s="804"/>
      <c r="G34" s="347"/>
      <c r="H34" s="347"/>
      <c r="I34" s="347"/>
      <c r="J34" s="719"/>
      <c r="K34" s="348">
        <f>AB34-AL34</f>
        <v>0</v>
      </c>
      <c r="L34" s="717"/>
      <c r="M34" s="717"/>
      <c r="N34" s="717"/>
      <c r="O34" s="717"/>
      <c r="P34" s="405"/>
      <c r="Q34" s="717"/>
      <c r="R34" s="405"/>
      <c r="S34" s="405"/>
      <c r="T34" s="405"/>
      <c r="U34" s="837"/>
      <c r="V34" s="347"/>
      <c r="W34" s="347"/>
      <c r="X34" s="347"/>
      <c r="Y34" s="347"/>
      <c r="Z34" s="718"/>
      <c r="AA34" s="719"/>
      <c r="AB34" s="348">
        <v>1000000</v>
      </c>
      <c r="AC34" s="405"/>
      <c r="AD34" s="405"/>
      <c r="AE34" s="405"/>
      <c r="AF34" s="405"/>
      <c r="AG34" s="405"/>
      <c r="AH34" s="405"/>
      <c r="AI34" s="405"/>
      <c r="AJ34" s="405"/>
      <c r="AK34" s="720"/>
      <c r="AL34" s="721">
        <f>573000+427000</f>
        <v>1000000</v>
      </c>
      <c r="AM34" s="722">
        <f t="shared" si="7"/>
        <v>0</v>
      </c>
      <c r="AN34" s="838" t="s">
        <v>291</v>
      </c>
    </row>
    <row r="35" spans="1:40" s="379" customFormat="1" ht="21.75" thickBot="1" x14ac:dyDescent="0.4">
      <c r="A35" s="839" t="s">
        <v>25</v>
      </c>
      <c r="B35" s="858">
        <v>167772357</v>
      </c>
      <c r="C35" s="865" t="s">
        <v>265</v>
      </c>
      <c r="D35" s="857" t="s">
        <v>266</v>
      </c>
      <c r="E35" s="347"/>
      <c r="F35" s="804"/>
      <c r="G35" s="347"/>
      <c r="H35" s="347"/>
      <c r="I35" s="347"/>
      <c r="J35" s="719"/>
      <c r="K35" s="348">
        <f>AB35-AL35</f>
        <v>0</v>
      </c>
      <c r="L35" s="717"/>
      <c r="M35" s="717"/>
      <c r="N35" s="717"/>
      <c r="O35" s="717"/>
      <c r="P35" s="405"/>
      <c r="Q35" s="717"/>
      <c r="R35" s="405"/>
      <c r="S35" s="405"/>
      <c r="T35" s="405"/>
      <c r="U35" s="837"/>
      <c r="V35" s="347"/>
      <c r="W35" s="347"/>
      <c r="X35" s="347"/>
      <c r="Y35" s="347"/>
      <c r="Z35" s="718"/>
      <c r="AA35" s="719"/>
      <c r="AB35" s="348">
        <v>98300</v>
      </c>
      <c r="AC35" s="405"/>
      <c r="AD35" s="405"/>
      <c r="AE35" s="405"/>
      <c r="AF35" s="405"/>
      <c r="AG35" s="405"/>
      <c r="AH35" s="405"/>
      <c r="AI35" s="405"/>
      <c r="AJ35" s="405"/>
      <c r="AK35" s="720"/>
      <c r="AL35" s="721">
        <v>98300</v>
      </c>
      <c r="AM35" s="866">
        <f t="shared" si="7"/>
        <v>0</v>
      </c>
      <c r="AN35" s="838" t="s">
        <v>292</v>
      </c>
    </row>
    <row r="36" spans="1:40" s="379" customFormat="1" ht="21.75" thickBot="1" x14ac:dyDescent="0.4">
      <c r="A36" s="839" t="s">
        <v>25</v>
      </c>
      <c r="B36" s="858">
        <v>167772365</v>
      </c>
      <c r="C36" s="865" t="s">
        <v>267</v>
      </c>
      <c r="D36" s="857" t="s">
        <v>266</v>
      </c>
      <c r="E36" s="347"/>
      <c r="F36" s="804"/>
      <c r="G36" s="347"/>
      <c r="H36" s="347"/>
      <c r="I36" s="347"/>
      <c r="J36" s="719"/>
      <c r="K36" s="348">
        <f>AB36-AL36</f>
        <v>0</v>
      </c>
      <c r="L36" s="717"/>
      <c r="M36" s="717"/>
      <c r="N36" s="717"/>
      <c r="O36" s="717"/>
      <c r="P36" s="405"/>
      <c r="Q36" s="717"/>
      <c r="R36" s="405"/>
      <c r="S36" s="405"/>
      <c r="T36" s="405"/>
      <c r="U36" s="837"/>
      <c r="V36" s="347"/>
      <c r="W36" s="347"/>
      <c r="X36" s="347"/>
      <c r="Y36" s="347"/>
      <c r="Z36" s="718"/>
      <c r="AA36" s="719">
        <f t="shared" ref="AA36:AA41" si="8">SUM(W36:Z36)</f>
        <v>0</v>
      </c>
      <c r="AB36" s="348">
        <v>495700</v>
      </c>
      <c r="AC36" s="405"/>
      <c r="AD36" s="405"/>
      <c r="AE36" s="405"/>
      <c r="AF36" s="405"/>
      <c r="AG36" s="405"/>
      <c r="AH36" s="405"/>
      <c r="AI36" s="405"/>
      <c r="AJ36" s="405"/>
      <c r="AK36" s="720"/>
      <c r="AL36" s="721">
        <v>495700</v>
      </c>
      <c r="AM36" s="866">
        <f t="shared" si="7"/>
        <v>0</v>
      </c>
      <c r="AN36" s="838" t="s">
        <v>293</v>
      </c>
    </row>
    <row r="37" spans="1:40" s="956" customFormat="1" ht="21.75" thickBot="1" x14ac:dyDescent="0.4">
      <c r="A37" s="850" t="s">
        <v>25</v>
      </c>
      <c r="B37" s="846">
        <v>167772377</v>
      </c>
      <c r="C37" s="903" t="s">
        <v>275</v>
      </c>
      <c r="D37" s="863" t="s">
        <v>276</v>
      </c>
      <c r="E37" s="665"/>
      <c r="F37" s="798">
        <f>W37-AL37</f>
        <v>0</v>
      </c>
      <c r="G37" s="798"/>
      <c r="H37" s="665"/>
      <c r="I37" s="665"/>
      <c r="J37" s="666">
        <f>SUM(F37:I37)</f>
        <v>0</v>
      </c>
      <c r="K37" s="667"/>
      <c r="L37" s="655"/>
      <c r="M37" s="655"/>
      <c r="N37" s="655"/>
      <c r="O37" s="655"/>
      <c r="P37" s="655"/>
      <c r="Q37" s="655"/>
      <c r="R37" s="655"/>
      <c r="S37" s="655"/>
      <c r="T37" s="655"/>
      <c r="U37" s="837"/>
      <c r="V37" s="665"/>
      <c r="W37" s="665">
        <v>10800</v>
      </c>
      <c r="X37" s="665"/>
      <c r="Y37" s="665"/>
      <c r="Z37" s="686"/>
      <c r="AA37" s="666">
        <f t="shared" si="8"/>
        <v>10800</v>
      </c>
      <c r="AB37" s="667"/>
      <c r="AC37" s="655"/>
      <c r="AD37" s="655"/>
      <c r="AE37" s="655"/>
      <c r="AF37" s="655"/>
      <c r="AG37" s="655"/>
      <c r="AH37" s="655"/>
      <c r="AI37" s="655"/>
      <c r="AJ37" s="655"/>
      <c r="AK37" s="687"/>
      <c r="AL37" s="669">
        <f>3600+7200</f>
        <v>10800</v>
      </c>
      <c r="AM37" s="669">
        <f t="shared" si="7"/>
        <v>0</v>
      </c>
      <c r="AN37" s="852" t="s">
        <v>407</v>
      </c>
    </row>
    <row r="38" spans="1:40" s="956" customFormat="1" ht="21.75" thickBot="1" x14ac:dyDescent="0.4">
      <c r="A38" s="850" t="s">
        <v>25</v>
      </c>
      <c r="B38" s="846">
        <v>167772377</v>
      </c>
      <c r="C38" s="903" t="s">
        <v>275</v>
      </c>
      <c r="D38" s="863" t="s">
        <v>276</v>
      </c>
      <c r="E38" s="665"/>
      <c r="F38" s="798"/>
      <c r="G38" s="798">
        <f>X38-AL38</f>
        <v>0</v>
      </c>
      <c r="H38" s="665"/>
      <c r="I38" s="665"/>
      <c r="J38" s="666">
        <f>SUM(F38:I38)</f>
        <v>0</v>
      </c>
      <c r="K38" s="667"/>
      <c r="L38" s="655"/>
      <c r="M38" s="655"/>
      <c r="N38" s="655"/>
      <c r="O38" s="655"/>
      <c r="P38" s="655"/>
      <c r="Q38" s="655"/>
      <c r="R38" s="655"/>
      <c r="S38" s="655"/>
      <c r="T38" s="655"/>
      <c r="U38" s="837"/>
      <c r="V38" s="665"/>
      <c r="W38" s="665"/>
      <c r="X38" s="665">
        <v>14700</v>
      </c>
      <c r="Y38" s="665"/>
      <c r="Z38" s="686"/>
      <c r="AA38" s="666">
        <f t="shared" si="8"/>
        <v>14700</v>
      </c>
      <c r="AB38" s="667"/>
      <c r="AC38" s="655"/>
      <c r="AD38" s="655"/>
      <c r="AE38" s="655"/>
      <c r="AF38" s="655"/>
      <c r="AG38" s="655"/>
      <c r="AH38" s="655"/>
      <c r="AI38" s="655"/>
      <c r="AJ38" s="655"/>
      <c r="AK38" s="687"/>
      <c r="AL38" s="669">
        <f>3600+11100</f>
        <v>14700</v>
      </c>
      <c r="AM38" s="669">
        <f t="shared" si="7"/>
        <v>0</v>
      </c>
      <c r="AN38" s="852" t="s">
        <v>408</v>
      </c>
    </row>
    <row r="39" spans="1:40" s="379" customFormat="1" ht="21.75" thickBot="1" x14ac:dyDescent="0.4">
      <c r="A39" s="841" t="s">
        <v>25</v>
      </c>
      <c r="B39" s="842">
        <v>167772377</v>
      </c>
      <c r="C39" s="861" t="s">
        <v>275</v>
      </c>
      <c r="D39" s="862" t="s">
        <v>276</v>
      </c>
      <c r="E39" s="459"/>
      <c r="F39" s="805"/>
      <c r="G39" s="459"/>
      <c r="H39" s="459">
        <f>Y39-AL39</f>
        <v>2160</v>
      </c>
      <c r="I39" s="459"/>
      <c r="J39" s="384">
        <f>SUM(F39:I39)</f>
        <v>2160</v>
      </c>
      <c r="K39" s="787"/>
      <c r="L39" s="460"/>
      <c r="M39" s="460"/>
      <c r="N39" s="460"/>
      <c r="O39" s="460"/>
      <c r="P39" s="460"/>
      <c r="Q39" s="460"/>
      <c r="R39" s="460"/>
      <c r="S39" s="460"/>
      <c r="T39" s="460"/>
      <c r="U39" s="837"/>
      <c r="V39" s="461"/>
      <c r="W39" s="461"/>
      <c r="X39" s="461"/>
      <c r="Y39" s="461">
        <v>16710</v>
      </c>
      <c r="Z39" s="466"/>
      <c r="AA39" s="353">
        <f t="shared" si="8"/>
        <v>16710</v>
      </c>
      <c r="AB39" s="462"/>
      <c r="AC39" s="463"/>
      <c r="AD39" s="463"/>
      <c r="AE39" s="463"/>
      <c r="AF39" s="463"/>
      <c r="AG39" s="463"/>
      <c r="AH39" s="463"/>
      <c r="AI39" s="463"/>
      <c r="AJ39" s="463"/>
      <c r="AK39" s="1163"/>
      <c r="AL39" s="464">
        <f>1440+13110</f>
        <v>14550</v>
      </c>
      <c r="AM39" s="464">
        <f t="shared" si="7"/>
        <v>2160</v>
      </c>
      <c r="AN39" s="843" t="s">
        <v>409</v>
      </c>
    </row>
    <row r="40" spans="1:40" s="379" customFormat="1" ht="21.75" thickBot="1" x14ac:dyDescent="0.4">
      <c r="A40" s="841" t="s">
        <v>25</v>
      </c>
      <c r="B40" s="842">
        <v>167772377</v>
      </c>
      <c r="C40" s="861" t="s">
        <v>275</v>
      </c>
      <c r="D40" s="862" t="s">
        <v>276</v>
      </c>
      <c r="E40" s="459"/>
      <c r="F40" s="805"/>
      <c r="G40" s="805"/>
      <c r="H40" s="805"/>
      <c r="I40" s="459">
        <f>Z40-AL40</f>
        <v>2160</v>
      </c>
      <c r="J40" s="384">
        <f>SUM(F40:I40)</f>
        <v>2160</v>
      </c>
      <c r="K40" s="787"/>
      <c r="L40" s="460"/>
      <c r="M40" s="460"/>
      <c r="N40" s="460"/>
      <c r="O40" s="460"/>
      <c r="P40" s="460"/>
      <c r="Q40" s="460"/>
      <c r="R40" s="460"/>
      <c r="S40" s="460"/>
      <c r="T40" s="460"/>
      <c r="U40" s="837"/>
      <c r="V40" s="461"/>
      <c r="W40" s="461"/>
      <c r="X40" s="461"/>
      <c r="Y40" s="461"/>
      <c r="Z40" s="466">
        <v>21180</v>
      </c>
      <c r="AA40" s="353">
        <f t="shared" si="8"/>
        <v>21180</v>
      </c>
      <c r="AB40" s="462"/>
      <c r="AC40" s="463"/>
      <c r="AD40" s="463"/>
      <c r="AE40" s="463"/>
      <c r="AF40" s="463"/>
      <c r="AG40" s="463"/>
      <c r="AH40" s="463"/>
      <c r="AI40" s="463"/>
      <c r="AJ40" s="463"/>
      <c r="AK40" s="1163"/>
      <c r="AL40" s="464">
        <f>1440+16200+1380</f>
        <v>19020</v>
      </c>
      <c r="AM40" s="464">
        <f t="shared" si="7"/>
        <v>2160</v>
      </c>
      <c r="AN40" s="843" t="s">
        <v>372</v>
      </c>
    </row>
    <row r="41" spans="1:40" s="379" customFormat="1" ht="21.75" thickBot="1" x14ac:dyDescent="0.4">
      <c r="A41" s="839" t="s">
        <v>25</v>
      </c>
      <c r="B41" s="858">
        <v>167772381</v>
      </c>
      <c r="C41" s="865" t="s">
        <v>248</v>
      </c>
      <c r="D41" s="857" t="s">
        <v>277</v>
      </c>
      <c r="E41" s="347"/>
      <c r="F41" s="867"/>
      <c r="G41" s="347"/>
      <c r="H41" s="347"/>
      <c r="I41" s="347"/>
      <c r="J41" s="719">
        <f>SUM(F41:I41)</f>
        <v>0</v>
      </c>
      <c r="K41" s="348">
        <f>AB41-AL41</f>
        <v>0</v>
      </c>
      <c r="L41" s="717"/>
      <c r="M41" s="717"/>
      <c r="N41" s="717"/>
      <c r="O41" s="717"/>
      <c r="P41" s="405"/>
      <c r="Q41" s="717"/>
      <c r="R41" s="405"/>
      <c r="S41" s="405"/>
      <c r="T41" s="405"/>
      <c r="U41" s="837"/>
      <c r="V41" s="347"/>
      <c r="W41" s="347"/>
      <c r="X41" s="347"/>
      <c r="Y41" s="347"/>
      <c r="Z41" s="718"/>
      <c r="AA41" s="719">
        <f t="shared" si="8"/>
        <v>0</v>
      </c>
      <c r="AB41" s="348">
        <v>157400</v>
      </c>
      <c r="AC41" s="405"/>
      <c r="AD41" s="405"/>
      <c r="AE41" s="405"/>
      <c r="AF41" s="405"/>
      <c r="AG41" s="405"/>
      <c r="AH41" s="405"/>
      <c r="AI41" s="405"/>
      <c r="AJ41" s="405"/>
      <c r="AK41" s="720"/>
      <c r="AL41" s="721">
        <v>157400</v>
      </c>
      <c r="AM41" s="866">
        <f>(V41+W41+X41+Y41+Z41+AB41+AC41+AD41+AE41+AF41+AG41+AH41+AI41+AJ41+AK41)-AL41</f>
        <v>0</v>
      </c>
      <c r="AN41" s="838" t="s">
        <v>294</v>
      </c>
    </row>
    <row r="42" spans="1:40" s="883" customFormat="1" ht="21.75" thickBot="1" x14ac:dyDescent="0.4">
      <c r="A42" s="839" t="s">
        <v>25</v>
      </c>
      <c r="B42" s="951">
        <v>167772411</v>
      </c>
      <c r="C42" s="952" t="s">
        <v>321</v>
      </c>
      <c r="D42" s="953" t="s">
        <v>322</v>
      </c>
      <c r="E42" s="346">
        <f>V42-AL42</f>
        <v>0</v>
      </c>
      <c r="F42" s="804"/>
      <c r="G42" s="804"/>
      <c r="H42" s="804"/>
      <c r="I42" s="347"/>
      <c r="J42" s="719">
        <f t="shared" ref="J42:J47" si="9">SUM(F42:I42)</f>
        <v>0</v>
      </c>
      <c r="K42" s="348"/>
      <c r="L42" s="405"/>
      <c r="M42" s="405"/>
      <c r="N42" s="405"/>
      <c r="O42" s="405"/>
      <c r="P42" s="405"/>
      <c r="Q42" s="405"/>
      <c r="R42" s="405"/>
      <c r="S42" s="405"/>
      <c r="T42" s="405"/>
      <c r="U42" s="837"/>
      <c r="V42" s="347">
        <v>212500</v>
      </c>
      <c r="W42" s="347"/>
      <c r="X42" s="347"/>
      <c r="Y42" s="347"/>
      <c r="Z42" s="718"/>
      <c r="AA42" s="719"/>
      <c r="AB42" s="348"/>
      <c r="AC42" s="954"/>
      <c r="AD42" s="405"/>
      <c r="AE42" s="405"/>
      <c r="AF42" s="405"/>
      <c r="AG42" s="405"/>
      <c r="AH42" s="405"/>
      <c r="AI42" s="405"/>
      <c r="AJ42" s="405"/>
      <c r="AK42" s="720"/>
      <c r="AL42" s="721">
        <f>20000+625+191875</f>
        <v>212500</v>
      </c>
      <c r="AM42" s="721">
        <f>(V42+W42+X42+Y42+Z42+AB42+AC42+AD42+AE42+AF42+AG42+AH42+AI42+AJ42+AK42)-AL42</f>
        <v>0</v>
      </c>
      <c r="AN42" s="838" t="s">
        <v>373</v>
      </c>
    </row>
    <row r="43" spans="1:40" s="379" customFormat="1" ht="21.75" thickBot="1" x14ac:dyDescent="0.4">
      <c r="A43" s="839" t="s">
        <v>25</v>
      </c>
      <c r="B43" s="613">
        <v>167772410</v>
      </c>
      <c r="C43" s="952" t="s">
        <v>321</v>
      </c>
      <c r="D43" s="953" t="s">
        <v>323</v>
      </c>
      <c r="E43" s="347"/>
      <c r="F43" s="804"/>
      <c r="G43" s="804"/>
      <c r="H43" s="804"/>
      <c r="I43" s="347"/>
      <c r="J43" s="719">
        <f t="shared" si="9"/>
        <v>0</v>
      </c>
      <c r="K43" s="348"/>
      <c r="L43" s="405"/>
      <c r="M43" s="405">
        <f>AD43-AL43</f>
        <v>0</v>
      </c>
      <c r="N43" s="405"/>
      <c r="O43" s="405"/>
      <c r="P43" s="405"/>
      <c r="Q43" s="405"/>
      <c r="R43" s="405"/>
      <c r="S43" s="405"/>
      <c r="T43" s="405"/>
      <c r="U43" s="837"/>
      <c r="V43" s="347"/>
      <c r="W43" s="347"/>
      <c r="X43" s="347"/>
      <c r="Y43" s="347"/>
      <c r="Z43" s="718"/>
      <c r="AA43" s="719"/>
      <c r="AB43" s="348"/>
      <c r="AC43" s="405"/>
      <c r="AD43" s="405">
        <v>40000</v>
      </c>
      <c r="AE43" s="405"/>
      <c r="AF43" s="405"/>
      <c r="AG43" s="405"/>
      <c r="AH43" s="405"/>
      <c r="AI43" s="405"/>
      <c r="AJ43" s="405"/>
      <c r="AK43" s="720"/>
      <c r="AL43" s="721">
        <v>40000</v>
      </c>
      <c r="AM43" s="721">
        <f t="shared" si="7"/>
        <v>0</v>
      </c>
      <c r="AN43" s="838" t="s">
        <v>374</v>
      </c>
    </row>
    <row r="44" spans="1:40" s="379" customFormat="1" ht="21.75" thickBot="1" x14ac:dyDescent="0.4">
      <c r="A44" s="839" t="s">
        <v>25</v>
      </c>
      <c r="B44" s="858">
        <v>167772410</v>
      </c>
      <c r="C44" s="952" t="s">
        <v>321</v>
      </c>
      <c r="D44" s="953" t="s">
        <v>323</v>
      </c>
      <c r="E44" s="347"/>
      <c r="F44" s="804"/>
      <c r="G44" s="804"/>
      <c r="H44" s="804"/>
      <c r="I44" s="347"/>
      <c r="J44" s="719">
        <f t="shared" si="9"/>
        <v>0</v>
      </c>
      <c r="K44" s="348"/>
      <c r="L44" s="405"/>
      <c r="M44" s="405"/>
      <c r="N44" s="405">
        <f>AE44-AL44</f>
        <v>0</v>
      </c>
      <c r="O44" s="405"/>
      <c r="P44" s="405"/>
      <c r="Q44" s="405"/>
      <c r="R44" s="405"/>
      <c r="S44" s="405"/>
      <c r="T44" s="405"/>
      <c r="U44" s="837"/>
      <c r="V44" s="347"/>
      <c r="W44" s="347"/>
      <c r="X44" s="347"/>
      <c r="Y44" s="347"/>
      <c r="Z44" s="718"/>
      <c r="AA44" s="719"/>
      <c r="AB44" s="348"/>
      <c r="AC44" s="405"/>
      <c r="AD44" s="405"/>
      <c r="AE44" s="405">
        <v>20000</v>
      </c>
      <c r="AF44" s="405"/>
      <c r="AG44" s="405"/>
      <c r="AH44" s="405"/>
      <c r="AI44" s="405"/>
      <c r="AJ44" s="405"/>
      <c r="AK44" s="720"/>
      <c r="AL44" s="721">
        <v>20000</v>
      </c>
      <c r="AM44" s="721">
        <f t="shared" si="7"/>
        <v>0</v>
      </c>
      <c r="AN44" s="838" t="s">
        <v>374</v>
      </c>
    </row>
    <row r="45" spans="1:40" s="379" customFormat="1" ht="21.75" thickBot="1" x14ac:dyDescent="0.4">
      <c r="A45" s="839" t="s">
        <v>25</v>
      </c>
      <c r="B45" s="613">
        <v>167772409</v>
      </c>
      <c r="C45" s="952" t="s">
        <v>321</v>
      </c>
      <c r="D45" s="953" t="s">
        <v>323</v>
      </c>
      <c r="E45" s="346"/>
      <c r="F45" s="804"/>
      <c r="G45" s="804"/>
      <c r="H45" s="804"/>
      <c r="I45" s="347">
        <f>Z45-AL45</f>
        <v>0</v>
      </c>
      <c r="J45" s="719">
        <f>SUM(F45:I45)</f>
        <v>0</v>
      </c>
      <c r="K45" s="348"/>
      <c r="L45" s="954"/>
      <c r="M45" s="405"/>
      <c r="N45" s="405"/>
      <c r="O45" s="405"/>
      <c r="P45" s="405"/>
      <c r="Q45" s="405"/>
      <c r="R45" s="405"/>
      <c r="S45" s="405"/>
      <c r="T45" s="405"/>
      <c r="U45" s="837"/>
      <c r="V45" s="347"/>
      <c r="W45" s="347"/>
      <c r="X45" s="347"/>
      <c r="Y45" s="347"/>
      <c r="Z45" s="718">
        <v>34530</v>
      </c>
      <c r="AA45" s="347"/>
      <c r="AB45" s="348"/>
      <c r="AC45" s="954"/>
      <c r="AD45" s="405"/>
      <c r="AE45" s="405"/>
      <c r="AF45" s="405"/>
      <c r="AG45" s="405"/>
      <c r="AH45" s="405"/>
      <c r="AI45" s="405"/>
      <c r="AJ45" s="405"/>
      <c r="AK45" s="720"/>
      <c r="AL45" s="721">
        <v>34530</v>
      </c>
      <c r="AM45" s="721">
        <f t="shared" si="7"/>
        <v>0</v>
      </c>
      <c r="AN45" s="838" t="s">
        <v>493</v>
      </c>
    </row>
    <row r="46" spans="1:40" s="379" customFormat="1" ht="21.75" thickBot="1" x14ac:dyDescent="0.4">
      <c r="A46" s="839" t="s">
        <v>25</v>
      </c>
      <c r="B46" s="858">
        <v>167772409</v>
      </c>
      <c r="C46" s="952" t="s">
        <v>321</v>
      </c>
      <c r="D46" s="953" t="s">
        <v>323</v>
      </c>
      <c r="E46" s="347"/>
      <c r="F46" s="804"/>
      <c r="G46" s="804"/>
      <c r="H46" s="347">
        <f>Y46-AL46</f>
        <v>0</v>
      </c>
      <c r="I46" s="347"/>
      <c r="J46" s="719">
        <f t="shared" si="9"/>
        <v>0</v>
      </c>
      <c r="K46" s="348"/>
      <c r="L46" s="405"/>
      <c r="M46" s="405"/>
      <c r="N46" s="405"/>
      <c r="O46" s="405"/>
      <c r="P46" s="405"/>
      <c r="Q46" s="405"/>
      <c r="R46" s="405"/>
      <c r="S46" s="405"/>
      <c r="T46" s="405"/>
      <c r="U46" s="837"/>
      <c r="V46" s="347"/>
      <c r="W46" s="347"/>
      <c r="X46" s="347"/>
      <c r="Y46" s="347">
        <v>33120</v>
      </c>
      <c r="Z46" s="718"/>
      <c r="AA46" s="347"/>
      <c r="AB46" s="348"/>
      <c r="AC46" s="405"/>
      <c r="AD46" s="405"/>
      <c r="AE46" s="405"/>
      <c r="AF46" s="405"/>
      <c r="AG46" s="405"/>
      <c r="AH46" s="405"/>
      <c r="AI46" s="405"/>
      <c r="AJ46" s="405"/>
      <c r="AK46" s="720"/>
      <c r="AL46" s="721">
        <v>33120</v>
      </c>
      <c r="AM46" s="721">
        <f t="shared" si="7"/>
        <v>0</v>
      </c>
      <c r="AN46" s="838" t="s">
        <v>493</v>
      </c>
    </row>
    <row r="47" spans="1:40" s="379" customFormat="1" ht="21.75" thickBot="1" x14ac:dyDescent="0.4">
      <c r="A47" s="839" t="s">
        <v>25</v>
      </c>
      <c r="B47" s="858">
        <v>167772409</v>
      </c>
      <c r="C47" s="952" t="s">
        <v>321</v>
      </c>
      <c r="D47" s="953" t="s">
        <v>323</v>
      </c>
      <c r="E47" s="347"/>
      <c r="F47" s="804"/>
      <c r="G47" s="804">
        <f>X47-AL47</f>
        <v>0</v>
      </c>
      <c r="H47" s="804"/>
      <c r="I47" s="347"/>
      <c r="J47" s="719">
        <f t="shared" si="9"/>
        <v>0</v>
      </c>
      <c r="K47" s="348"/>
      <c r="L47" s="405"/>
      <c r="M47" s="405"/>
      <c r="N47" s="405"/>
      <c r="O47" s="405"/>
      <c r="P47" s="405"/>
      <c r="Q47" s="405"/>
      <c r="R47" s="405"/>
      <c r="S47" s="405"/>
      <c r="T47" s="405"/>
      <c r="U47" s="837"/>
      <c r="V47" s="347"/>
      <c r="W47" s="347"/>
      <c r="X47" s="347">
        <v>36000</v>
      </c>
      <c r="Y47" s="347"/>
      <c r="Z47" s="718"/>
      <c r="AA47" s="347"/>
      <c r="AB47" s="348"/>
      <c r="AC47" s="405"/>
      <c r="AD47" s="405"/>
      <c r="AE47" s="405"/>
      <c r="AF47" s="405"/>
      <c r="AG47" s="405"/>
      <c r="AH47" s="405"/>
      <c r="AI47" s="405"/>
      <c r="AJ47" s="405"/>
      <c r="AK47" s="720"/>
      <c r="AL47" s="721">
        <v>36000</v>
      </c>
      <c r="AM47" s="721">
        <f t="shared" si="7"/>
        <v>0</v>
      </c>
      <c r="AN47" s="838" t="s">
        <v>493</v>
      </c>
    </row>
    <row r="48" spans="1:40" s="379" customFormat="1" ht="21.75" thickBot="1" x14ac:dyDescent="0.4">
      <c r="A48" s="839" t="s">
        <v>25</v>
      </c>
      <c r="B48" s="858">
        <v>167772409</v>
      </c>
      <c r="C48" s="952" t="s">
        <v>321</v>
      </c>
      <c r="D48" s="953" t="s">
        <v>323</v>
      </c>
      <c r="E48" s="347"/>
      <c r="F48" s="804">
        <f>W48-AL48</f>
        <v>0</v>
      </c>
      <c r="G48" s="804"/>
      <c r="H48" s="804"/>
      <c r="I48" s="347"/>
      <c r="J48" s="719">
        <f>SUM(F48:I48)</f>
        <v>0</v>
      </c>
      <c r="K48" s="348"/>
      <c r="L48" s="405"/>
      <c r="M48" s="405"/>
      <c r="N48" s="405"/>
      <c r="O48" s="405"/>
      <c r="P48" s="405"/>
      <c r="Q48" s="405"/>
      <c r="R48" s="405"/>
      <c r="S48" s="405"/>
      <c r="T48" s="405"/>
      <c r="U48" s="837"/>
      <c r="V48" s="347"/>
      <c r="W48" s="347">
        <v>51750</v>
      </c>
      <c r="X48" s="347"/>
      <c r="Y48" s="347"/>
      <c r="Z48" s="718"/>
      <c r="AA48" s="347">
        <f>SUM(W48:Z48)</f>
        <v>51750</v>
      </c>
      <c r="AB48" s="348"/>
      <c r="AC48" s="405"/>
      <c r="AD48" s="405"/>
      <c r="AE48" s="405"/>
      <c r="AF48" s="405"/>
      <c r="AG48" s="405"/>
      <c r="AH48" s="405"/>
      <c r="AI48" s="405"/>
      <c r="AJ48" s="405"/>
      <c r="AK48" s="720"/>
      <c r="AL48" s="721">
        <v>51750</v>
      </c>
      <c r="AM48" s="721">
        <f t="shared" si="7"/>
        <v>0</v>
      </c>
      <c r="AN48" s="838" t="s">
        <v>493</v>
      </c>
    </row>
    <row r="49" spans="1:40" s="379" customFormat="1" ht="21.75" thickBot="1" x14ac:dyDescent="0.4">
      <c r="A49" s="850" t="s">
        <v>25</v>
      </c>
      <c r="B49" s="846">
        <v>167772188</v>
      </c>
      <c r="C49" s="903" t="s">
        <v>375</v>
      </c>
      <c r="D49" s="863" t="s">
        <v>376</v>
      </c>
      <c r="E49" s="665">
        <f>V49-AL49</f>
        <v>0</v>
      </c>
      <c r="F49" s="798"/>
      <c r="G49" s="798"/>
      <c r="H49" s="798"/>
      <c r="I49" s="665"/>
      <c r="J49" s="666"/>
      <c r="K49" s="667"/>
      <c r="L49" s="655"/>
      <c r="M49" s="655"/>
      <c r="N49" s="655"/>
      <c r="O49" s="655"/>
      <c r="P49" s="655"/>
      <c r="Q49" s="655"/>
      <c r="R49" s="655"/>
      <c r="S49" s="655"/>
      <c r="T49" s="655"/>
      <c r="U49" s="837"/>
      <c r="V49" s="665">
        <v>250000</v>
      </c>
      <c r="W49" s="665"/>
      <c r="X49" s="665"/>
      <c r="Y49" s="665"/>
      <c r="Z49" s="686"/>
      <c r="AA49" s="665"/>
      <c r="AB49" s="667"/>
      <c r="AC49" s="655"/>
      <c r="AD49" s="655"/>
      <c r="AE49" s="655"/>
      <c r="AF49" s="655"/>
      <c r="AG49" s="655"/>
      <c r="AH49" s="655"/>
      <c r="AI49" s="655"/>
      <c r="AJ49" s="655"/>
      <c r="AK49" s="687"/>
      <c r="AL49" s="669">
        <v>250000</v>
      </c>
      <c r="AM49" s="669">
        <f t="shared" si="7"/>
        <v>0</v>
      </c>
      <c r="AN49" s="852" t="s">
        <v>480</v>
      </c>
    </row>
    <row r="50" spans="1:40" s="379" customFormat="1" ht="21.75" thickBot="1" x14ac:dyDescent="0.4">
      <c r="A50" s="850" t="s">
        <v>25</v>
      </c>
      <c r="B50" s="846">
        <v>167772249</v>
      </c>
      <c r="C50" s="903" t="s">
        <v>410</v>
      </c>
      <c r="D50" s="863" t="s">
        <v>322</v>
      </c>
      <c r="E50" s="665"/>
      <c r="F50" s="798"/>
      <c r="G50" s="798"/>
      <c r="H50" s="798"/>
      <c r="I50" s="665"/>
      <c r="J50" s="666"/>
      <c r="K50" s="667"/>
      <c r="L50" s="655"/>
      <c r="M50" s="655"/>
      <c r="N50" s="655"/>
      <c r="O50" s="655"/>
      <c r="P50" s="655"/>
      <c r="Q50" s="655"/>
      <c r="R50" s="655"/>
      <c r="S50" s="655"/>
      <c r="T50" s="655"/>
      <c r="U50" s="837"/>
      <c r="V50" s="665"/>
      <c r="W50" s="665"/>
      <c r="X50" s="665"/>
      <c r="Y50" s="665"/>
      <c r="Z50" s="686"/>
      <c r="AA50" s="665"/>
      <c r="AB50" s="667"/>
      <c r="AC50" s="655"/>
      <c r="AD50" s="655">
        <v>20000</v>
      </c>
      <c r="AE50" s="655"/>
      <c r="AF50" s="655"/>
      <c r="AG50" s="655"/>
      <c r="AH50" s="655"/>
      <c r="AI50" s="655"/>
      <c r="AJ50" s="655"/>
      <c r="AK50" s="687"/>
      <c r="AL50" s="669">
        <v>20000</v>
      </c>
      <c r="AM50" s="669">
        <f t="shared" si="7"/>
        <v>0</v>
      </c>
      <c r="AN50" s="852" t="s">
        <v>455</v>
      </c>
    </row>
    <row r="51" spans="1:40" s="379" customFormat="1" ht="21.75" thickBot="1" x14ac:dyDescent="0.4">
      <c r="A51" s="850" t="s">
        <v>25</v>
      </c>
      <c r="B51" s="846">
        <v>167772250</v>
      </c>
      <c r="C51" s="903" t="s">
        <v>411</v>
      </c>
      <c r="D51" s="863" t="s">
        <v>322</v>
      </c>
      <c r="E51" s="665"/>
      <c r="F51" s="798"/>
      <c r="G51" s="798"/>
      <c r="H51" s="798"/>
      <c r="I51" s="665"/>
      <c r="J51" s="666"/>
      <c r="K51" s="667"/>
      <c r="L51" s="655"/>
      <c r="M51" s="655"/>
      <c r="N51" s="655">
        <f>AE51-AL51</f>
        <v>0</v>
      </c>
      <c r="O51" s="655"/>
      <c r="P51" s="655"/>
      <c r="Q51" s="655"/>
      <c r="R51" s="655"/>
      <c r="S51" s="655"/>
      <c r="T51" s="655"/>
      <c r="U51" s="837"/>
      <c r="V51" s="665"/>
      <c r="W51" s="665"/>
      <c r="X51" s="665"/>
      <c r="Y51" s="665"/>
      <c r="Z51" s="686"/>
      <c r="AA51" s="665"/>
      <c r="AB51" s="667"/>
      <c r="AC51" s="655"/>
      <c r="AD51" s="655"/>
      <c r="AE51" s="655">
        <v>30000</v>
      </c>
      <c r="AF51" s="655"/>
      <c r="AG51" s="655"/>
      <c r="AH51" s="655"/>
      <c r="AI51" s="655"/>
      <c r="AJ51" s="655"/>
      <c r="AK51" s="687"/>
      <c r="AL51" s="669">
        <f>22000+8000</f>
        <v>30000</v>
      </c>
      <c r="AM51" s="669">
        <f t="shared" ref="AM51:AM76" si="10">(V51+W51+X51+Y51+Z51+AB51+AC51+AD51+AE51+AF51+AG51+AH51+AI51+AJ51+AK51)-AL51</f>
        <v>0</v>
      </c>
      <c r="AN51" s="852" t="s">
        <v>494</v>
      </c>
    </row>
    <row r="52" spans="1:40" s="379" customFormat="1" ht="21.75" thickBot="1" x14ac:dyDescent="0.4">
      <c r="A52" s="850" t="s">
        <v>25</v>
      </c>
      <c r="B52" s="846">
        <v>167772386</v>
      </c>
      <c r="C52" s="903">
        <v>45701</v>
      </c>
      <c r="D52" s="863">
        <v>45960</v>
      </c>
      <c r="E52" s="665">
        <f>V52-AL52</f>
        <v>0</v>
      </c>
      <c r="F52" s="798"/>
      <c r="G52" s="798"/>
      <c r="H52" s="798"/>
      <c r="I52" s="665"/>
      <c r="J52" s="666"/>
      <c r="K52" s="667"/>
      <c r="L52" s="655"/>
      <c r="M52" s="655"/>
      <c r="N52" s="655"/>
      <c r="O52" s="655"/>
      <c r="P52" s="655"/>
      <c r="Q52" s="655"/>
      <c r="R52" s="655"/>
      <c r="S52" s="655"/>
      <c r="T52" s="655"/>
      <c r="U52" s="837"/>
      <c r="V52" s="665">
        <v>250000</v>
      </c>
      <c r="W52" s="665"/>
      <c r="X52" s="665"/>
      <c r="Y52" s="665"/>
      <c r="Z52" s="686"/>
      <c r="AA52" s="665"/>
      <c r="AB52" s="667"/>
      <c r="AC52" s="655"/>
      <c r="AD52" s="655"/>
      <c r="AE52" s="655"/>
      <c r="AF52" s="655"/>
      <c r="AG52" s="655"/>
      <c r="AH52" s="655"/>
      <c r="AI52" s="655"/>
      <c r="AJ52" s="655"/>
      <c r="AK52" s="687"/>
      <c r="AL52" s="669">
        <v>250000</v>
      </c>
      <c r="AM52" s="669">
        <f t="shared" si="10"/>
        <v>0</v>
      </c>
      <c r="AN52" s="852" t="s">
        <v>501</v>
      </c>
    </row>
    <row r="53" spans="1:40" s="379" customFormat="1" ht="21.75" thickBot="1" x14ac:dyDescent="0.4">
      <c r="A53" s="850" t="s">
        <v>25</v>
      </c>
      <c r="B53" s="846">
        <v>167772400</v>
      </c>
      <c r="C53" s="903" t="s">
        <v>461</v>
      </c>
      <c r="D53" s="863" t="s">
        <v>322</v>
      </c>
      <c r="E53" s="665"/>
      <c r="F53" s="798"/>
      <c r="G53" s="798"/>
      <c r="H53" s="798"/>
      <c r="I53" s="665"/>
      <c r="J53" s="666"/>
      <c r="K53" s="667"/>
      <c r="L53" s="655">
        <f>AC53-AL53</f>
        <v>0</v>
      </c>
      <c r="M53" s="655"/>
      <c r="N53" s="655"/>
      <c r="O53" s="655"/>
      <c r="P53" s="655"/>
      <c r="Q53" s="655"/>
      <c r="R53" s="655"/>
      <c r="S53" s="655"/>
      <c r="T53" s="655"/>
      <c r="U53" s="837"/>
      <c r="V53" s="665"/>
      <c r="W53" s="665"/>
      <c r="X53" s="665"/>
      <c r="Y53" s="665"/>
      <c r="Z53" s="686"/>
      <c r="AA53" s="665"/>
      <c r="AB53" s="667"/>
      <c r="AC53" s="655">
        <v>260400</v>
      </c>
      <c r="AD53" s="655"/>
      <c r="AE53" s="655"/>
      <c r="AF53" s="655"/>
      <c r="AG53" s="655"/>
      <c r="AH53" s="655"/>
      <c r="AI53" s="655"/>
      <c r="AJ53" s="655"/>
      <c r="AK53" s="687"/>
      <c r="AL53" s="669">
        <v>260400</v>
      </c>
      <c r="AM53" s="669">
        <f t="shared" si="10"/>
        <v>0</v>
      </c>
      <c r="AN53" s="852" t="s">
        <v>472</v>
      </c>
    </row>
    <row r="54" spans="1:40" s="379" customFormat="1" ht="21.75" thickBot="1" x14ac:dyDescent="0.4">
      <c r="A54" s="845" t="s">
        <v>25</v>
      </c>
      <c r="B54" s="693">
        <v>167772397</v>
      </c>
      <c r="C54" s="957" t="s">
        <v>461</v>
      </c>
      <c r="D54" s="958" t="s">
        <v>322</v>
      </c>
      <c r="E54" s="959"/>
      <c r="F54" s="968"/>
      <c r="G54" s="968"/>
      <c r="H54" s="968"/>
      <c r="I54" s="959"/>
      <c r="J54" s="666"/>
      <c r="K54" s="961"/>
      <c r="L54" s="962"/>
      <c r="M54" s="962"/>
      <c r="N54" s="962">
        <f>AE54-AL54</f>
        <v>0</v>
      </c>
      <c r="O54" s="962"/>
      <c r="P54" s="962"/>
      <c r="Q54" s="962"/>
      <c r="R54" s="962"/>
      <c r="S54" s="962"/>
      <c r="T54" s="962"/>
      <c r="U54" s="837"/>
      <c r="V54" s="959"/>
      <c r="W54" s="959"/>
      <c r="X54" s="959"/>
      <c r="Y54" s="959"/>
      <c r="Z54" s="963"/>
      <c r="AA54" s="959"/>
      <c r="AB54" s="961"/>
      <c r="AC54" s="962"/>
      <c r="AD54" s="962"/>
      <c r="AE54" s="962">
        <v>20000</v>
      </c>
      <c r="AF54" s="962"/>
      <c r="AG54" s="962"/>
      <c r="AH54" s="962"/>
      <c r="AI54" s="962"/>
      <c r="AJ54" s="962"/>
      <c r="AK54" s="1100"/>
      <c r="AL54" s="965">
        <v>20000</v>
      </c>
      <c r="AM54" s="965">
        <f t="shared" si="10"/>
        <v>0</v>
      </c>
      <c r="AN54" s="967" t="s">
        <v>471</v>
      </c>
    </row>
    <row r="55" spans="1:40" s="379" customFormat="1" ht="21.75" thickBot="1" x14ac:dyDescent="0.4">
      <c r="A55" s="845" t="s">
        <v>25</v>
      </c>
      <c r="B55" s="693">
        <v>167772397</v>
      </c>
      <c r="C55" s="957" t="s">
        <v>461</v>
      </c>
      <c r="D55" s="958" t="s">
        <v>322</v>
      </c>
      <c r="E55" s="959"/>
      <c r="F55" s="968"/>
      <c r="G55" s="968"/>
      <c r="H55" s="968"/>
      <c r="I55" s="959"/>
      <c r="J55" s="666"/>
      <c r="K55" s="961"/>
      <c r="L55" s="962"/>
      <c r="M55" s="962"/>
      <c r="N55" s="962"/>
      <c r="O55" s="962"/>
      <c r="P55" s="962">
        <f>AG55-AL55</f>
        <v>0</v>
      </c>
      <c r="Q55" s="962"/>
      <c r="R55" s="962"/>
      <c r="S55" s="962"/>
      <c r="T55" s="962"/>
      <c r="U55" s="837"/>
      <c r="V55" s="959"/>
      <c r="W55" s="959"/>
      <c r="X55" s="959"/>
      <c r="Y55" s="959"/>
      <c r="Z55" s="963"/>
      <c r="AA55" s="959"/>
      <c r="AB55" s="961"/>
      <c r="AC55" s="962"/>
      <c r="AD55" s="962"/>
      <c r="AE55" s="962"/>
      <c r="AF55" s="962"/>
      <c r="AG55" s="962">
        <v>1760</v>
      </c>
      <c r="AH55" s="962"/>
      <c r="AI55" s="962"/>
      <c r="AJ55" s="962"/>
      <c r="AK55" s="1100"/>
      <c r="AL55" s="965">
        <v>1760</v>
      </c>
      <c r="AM55" s="965">
        <f t="shared" si="10"/>
        <v>0</v>
      </c>
      <c r="AN55" s="967" t="s">
        <v>468</v>
      </c>
    </row>
    <row r="56" spans="1:40" s="379" customFormat="1" ht="21.75" thickBot="1" x14ac:dyDescent="0.4">
      <c r="A56" s="850" t="s">
        <v>25</v>
      </c>
      <c r="B56" s="846">
        <v>167772407</v>
      </c>
      <c r="C56" s="903" t="s">
        <v>469</v>
      </c>
      <c r="D56" s="863" t="s">
        <v>470</v>
      </c>
      <c r="E56" s="665"/>
      <c r="F56" s="798"/>
      <c r="G56" s="798"/>
      <c r="H56" s="798"/>
      <c r="I56" s="665"/>
      <c r="J56" s="666"/>
      <c r="K56" s="667">
        <f>AB56-AL56</f>
        <v>0</v>
      </c>
      <c r="L56" s="655"/>
      <c r="M56" s="655"/>
      <c r="N56" s="655"/>
      <c r="O56" s="655"/>
      <c r="P56" s="655"/>
      <c r="Q56" s="655"/>
      <c r="R56" s="655"/>
      <c r="S56" s="655"/>
      <c r="T56" s="655"/>
      <c r="U56" s="837"/>
      <c r="V56" s="665"/>
      <c r="W56" s="665"/>
      <c r="X56" s="665"/>
      <c r="Y56" s="665"/>
      <c r="Z56" s="686"/>
      <c r="AA56" s="665"/>
      <c r="AB56" s="667">
        <v>1000000</v>
      </c>
      <c r="AC56" s="655"/>
      <c r="AD56" s="655"/>
      <c r="AE56" s="655"/>
      <c r="AF56" s="655"/>
      <c r="AG56" s="655"/>
      <c r="AH56" s="655"/>
      <c r="AI56" s="655"/>
      <c r="AJ56" s="655"/>
      <c r="AK56" s="687"/>
      <c r="AL56" s="669">
        <v>1000000</v>
      </c>
      <c r="AM56" s="669">
        <f t="shared" si="10"/>
        <v>0</v>
      </c>
      <c r="AN56" s="852" t="s">
        <v>473</v>
      </c>
    </row>
    <row r="57" spans="1:40" s="379" customFormat="1" ht="21.75" thickBot="1" x14ac:dyDescent="0.4">
      <c r="A57" s="850" t="s">
        <v>25</v>
      </c>
      <c r="B57" s="846">
        <v>167772427</v>
      </c>
      <c r="C57" s="903" t="s">
        <v>474</v>
      </c>
      <c r="D57" s="863" t="s">
        <v>376</v>
      </c>
      <c r="E57" s="665"/>
      <c r="F57" s="798"/>
      <c r="G57" s="798"/>
      <c r="H57" s="798"/>
      <c r="I57" s="665"/>
      <c r="J57" s="666"/>
      <c r="K57" s="667"/>
      <c r="L57" s="655"/>
      <c r="M57" s="1095">
        <f>AD57-AL57</f>
        <v>0</v>
      </c>
      <c r="N57" s="655"/>
      <c r="O57" s="655"/>
      <c r="P57" s="655"/>
      <c r="Q57" s="655"/>
      <c r="R57" s="655"/>
      <c r="S57" s="655"/>
      <c r="T57" s="655"/>
      <c r="U57" s="837"/>
      <c r="V57" s="665"/>
      <c r="W57" s="665"/>
      <c r="X57" s="665"/>
      <c r="Y57" s="665"/>
      <c r="Z57" s="686"/>
      <c r="AA57" s="665"/>
      <c r="AB57" s="667"/>
      <c r="AC57" s="655"/>
      <c r="AD57" s="655">
        <v>20000</v>
      </c>
      <c r="AE57" s="655"/>
      <c r="AF57" s="655"/>
      <c r="AG57" s="655"/>
      <c r="AH57" s="655"/>
      <c r="AI57" s="655"/>
      <c r="AJ57" s="655"/>
      <c r="AK57" s="687"/>
      <c r="AL57" s="669">
        <v>20000</v>
      </c>
      <c r="AM57" s="1003">
        <f t="shared" si="10"/>
        <v>0</v>
      </c>
      <c r="AN57" s="852" t="s">
        <v>481</v>
      </c>
    </row>
    <row r="58" spans="1:40" s="1155" customFormat="1" ht="21.75" thickBot="1" x14ac:dyDescent="0.4">
      <c r="A58" s="380" t="s">
        <v>25</v>
      </c>
      <c r="B58" s="378">
        <v>167772488</v>
      </c>
      <c r="C58" s="888" t="s">
        <v>649</v>
      </c>
      <c r="D58" s="889" t="s">
        <v>653</v>
      </c>
      <c r="E58" s="383">
        <f>V58-AL58</f>
        <v>0</v>
      </c>
      <c r="F58" s="799">
        <f>W58-AL58</f>
        <v>150000</v>
      </c>
      <c r="G58" s="799">
        <f>X58-AL58</f>
        <v>0</v>
      </c>
      <c r="H58" s="799">
        <f>Y58-AL58</f>
        <v>0</v>
      </c>
      <c r="I58" s="383">
        <f>Z58-AL58</f>
        <v>0</v>
      </c>
      <c r="J58" s="384">
        <f>SUM(F58:I58)</f>
        <v>150000</v>
      </c>
      <c r="K58" s="1049">
        <f>AB58-AL58</f>
        <v>0</v>
      </c>
      <c r="L58" s="385"/>
      <c r="M58" s="460"/>
      <c r="N58" s="385"/>
      <c r="O58" s="385"/>
      <c r="P58" s="385"/>
      <c r="Q58" s="385"/>
      <c r="R58" s="385"/>
      <c r="S58" s="385"/>
      <c r="T58" s="385"/>
      <c r="U58" s="837"/>
      <c r="V58" s="356"/>
      <c r="W58" s="356">
        <v>150000</v>
      </c>
      <c r="X58" s="356"/>
      <c r="Y58" s="356"/>
      <c r="Z58" s="387"/>
      <c r="AA58" s="353">
        <f>SUM(W58:Z58)</f>
        <v>150000</v>
      </c>
      <c r="AB58" s="358"/>
      <c r="AC58" s="388"/>
      <c r="AD58" s="388"/>
      <c r="AE58" s="388"/>
      <c r="AF58" s="388"/>
      <c r="AG58" s="388"/>
      <c r="AH58" s="388"/>
      <c r="AI58" s="388"/>
      <c r="AJ58" s="388"/>
      <c r="AK58" s="438"/>
      <c r="AL58" s="436"/>
      <c r="AM58" s="881">
        <f t="shared" si="10"/>
        <v>150000</v>
      </c>
      <c r="AN58" s="386"/>
    </row>
    <row r="59" spans="1:40" s="1155" customFormat="1" ht="21.75" thickBot="1" x14ac:dyDescent="0.4">
      <c r="A59" s="380" t="s">
        <v>25</v>
      </c>
      <c r="B59" s="378">
        <v>167772481</v>
      </c>
      <c r="C59" s="888" t="s">
        <v>650</v>
      </c>
      <c r="D59" s="889" t="s">
        <v>654</v>
      </c>
      <c r="E59" s="383"/>
      <c r="F59" s="799">
        <f t="shared" ref="F59:F71" si="11">W59-AL59</f>
        <v>26400</v>
      </c>
      <c r="G59" s="799"/>
      <c r="H59" s="799"/>
      <c r="I59" s="383"/>
      <c r="J59" s="384">
        <f t="shared" ref="J59:J71" si="12">SUM(F59:I59)</f>
        <v>26400</v>
      </c>
      <c r="K59" s="1049"/>
      <c r="L59" s="385"/>
      <c r="M59" s="460"/>
      <c r="N59" s="385"/>
      <c r="O59" s="385"/>
      <c r="P59" s="385"/>
      <c r="Q59" s="385"/>
      <c r="R59" s="385"/>
      <c r="S59" s="385"/>
      <c r="T59" s="385"/>
      <c r="U59" s="837"/>
      <c r="V59" s="356"/>
      <c r="W59" s="356">
        <v>30000</v>
      </c>
      <c r="X59" s="356"/>
      <c r="Y59" s="356"/>
      <c r="Z59" s="387"/>
      <c r="AA59" s="353">
        <f t="shared" ref="AA59:AA71" si="13">SUM(W59:Z59)</f>
        <v>30000</v>
      </c>
      <c r="AB59" s="358"/>
      <c r="AC59" s="388"/>
      <c r="AD59" s="388"/>
      <c r="AE59" s="388"/>
      <c r="AF59" s="388"/>
      <c r="AG59" s="388"/>
      <c r="AH59" s="388"/>
      <c r="AI59" s="388"/>
      <c r="AJ59" s="388"/>
      <c r="AK59" s="438"/>
      <c r="AL59" s="436">
        <v>3600</v>
      </c>
      <c r="AM59" s="881">
        <f t="shared" si="10"/>
        <v>26400</v>
      </c>
      <c r="AN59" s="386" t="s">
        <v>673</v>
      </c>
    </row>
    <row r="60" spans="1:40" s="1155" customFormat="1" ht="21.75" thickBot="1" x14ac:dyDescent="0.4">
      <c r="A60" s="380" t="s">
        <v>25</v>
      </c>
      <c r="B60" s="378">
        <v>167772489</v>
      </c>
      <c r="C60" s="888" t="s">
        <v>649</v>
      </c>
      <c r="D60" s="889" t="s">
        <v>653</v>
      </c>
      <c r="E60" s="383">
        <f t="shared" ref="E60:E71" si="14">V60-AL60</f>
        <v>0</v>
      </c>
      <c r="F60" s="799">
        <f t="shared" si="11"/>
        <v>0</v>
      </c>
      <c r="G60" s="799">
        <f t="shared" ref="G60:G71" si="15">X60-AL60</f>
        <v>90000</v>
      </c>
      <c r="H60" s="799">
        <f t="shared" ref="H60:H71" si="16">Y60-AL60</f>
        <v>0</v>
      </c>
      <c r="I60" s="383">
        <f t="shared" ref="I60:I71" si="17">Z60-AL60</f>
        <v>0</v>
      </c>
      <c r="J60" s="384">
        <f t="shared" si="12"/>
        <v>90000</v>
      </c>
      <c r="K60" s="1049">
        <f t="shared" ref="K60:K71" si="18">AB60-AL60</f>
        <v>0</v>
      </c>
      <c r="L60" s="385"/>
      <c r="M60" s="460"/>
      <c r="N60" s="385"/>
      <c r="O60" s="385"/>
      <c r="P60" s="385"/>
      <c r="Q60" s="385"/>
      <c r="R60" s="385"/>
      <c r="S60" s="385"/>
      <c r="T60" s="385"/>
      <c r="U60" s="837"/>
      <c r="V60" s="356"/>
      <c r="W60" s="356"/>
      <c r="X60" s="356">
        <v>90000</v>
      </c>
      <c r="Y60" s="356"/>
      <c r="Z60" s="387"/>
      <c r="AA60" s="353">
        <f t="shared" si="13"/>
        <v>90000</v>
      </c>
      <c r="AB60" s="358"/>
      <c r="AC60" s="388"/>
      <c r="AD60" s="388"/>
      <c r="AE60" s="388"/>
      <c r="AF60" s="388"/>
      <c r="AG60" s="388"/>
      <c r="AH60" s="388"/>
      <c r="AI60" s="388"/>
      <c r="AJ60" s="388"/>
      <c r="AK60" s="438"/>
      <c r="AL60" s="436"/>
      <c r="AM60" s="881">
        <f t="shared" si="10"/>
        <v>90000</v>
      </c>
      <c r="AN60" s="386"/>
    </row>
    <row r="61" spans="1:40" s="1155" customFormat="1" ht="21.75" thickBot="1" x14ac:dyDescent="0.4">
      <c r="A61" s="380" t="s">
        <v>25</v>
      </c>
      <c r="B61" s="378">
        <v>167772482</v>
      </c>
      <c r="C61" s="888" t="s">
        <v>650</v>
      </c>
      <c r="D61" s="889" t="s">
        <v>654</v>
      </c>
      <c r="E61" s="383"/>
      <c r="F61" s="799"/>
      <c r="G61" s="799">
        <f t="shared" si="15"/>
        <v>26400</v>
      </c>
      <c r="H61" s="799"/>
      <c r="I61" s="383"/>
      <c r="J61" s="384">
        <f t="shared" si="12"/>
        <v>26400</v>
      </c>
      <c r="K61" s="1049"/>
      <c r="L61" s="385"/>
      <c r="M61" s="460"/>
      <c r="N61" s="385"/>
      <c r="O61" s="385"/>
      <c r="P61" s="385"/>
      <c r="Q61" s="385"/>
      <c r="R61" s="385"/>
      <c r="S61" s="385"/>
      <c r="T61" s="385"/>
      <c r="U61" s="837"/>
      <c r="V61" s="356"/>
      <c r="W61" s="356"/>
      <c r="X61" s="356">
        <v>30000</v>
      </c>
      <c r="Y61" s="356"/>
      <c r="Z61" s="387"/>
      <c r="AA61" s="353">
        <f t="shared" si="13"/>
        <v>30000</v>
      </c>
      <c r="AB61" s="358"/>
      <c r="AC61" s="388"/>
      <c r="AD61" s="388"/>
      <c r="AE61" s="388"/>
      <c r="AF61" s="388"/>
      <c r="AG61" s="388"/>
      <c r="AH61" s="388"/>
      <c r="AI61" s="388"/>
      <c r="AJ61" s="388"/>
      <c r="AK61" s="438"/>
      <c r="AL61" s="436">
        <v>3600</v>
      </c>
      <c r="AM61" s="881">
        <f t="shared" si="10"/>
        <v>26400</v>
      </c>
      <c r="AN61" s="386" t="s">
        <v>673</v>
      </c>
    </row>
    <row r="62" spans="1:40" s="1155" customFormat="1" ht="21.75" thickBot="1" x14ac:dyDescent="0.4">
      <c r="A62" s="380" t="s">
        <v>25</v>
      </c>
      <c r="B62" s="378">
        <v>167772490</v>
      </c>
      <c r="C62" s="888" t="s">
        <v>649</v>
      </c>
      <c r="D62" s="889" t="s">
        <v>653</v>
      </c>
      <c r="E62" s="383">
        <f t="shared" si="14"/>
        <v>0</v>
      </c>
      <c r="F62" s="799">
        <f t="shared" si="11"/>
        <v>0</v>
      </c>
      <c r="G62" s="799">
        <f t="shared" si="15"/>
        <v>0</v>
      </c>
      <c r="H62" s="799">
        <f t="shared" si="16"/>
        <v>90000</v>
      </c>
      <c r="I62" s="383">
        <f t="shared" si="17"/>
        <v>0</v>
      </c>
      <c r="J62" s="384">
        <f t="shared" si="12"/>
        <v>90000</v>
      </c>
      <c r="K62" s="1049">
        <f t="shared" si="18"/>
        <v>0</v>
      </c>
      <c r="L62" s="385"/>
      <c r="M62" s="460"/>
      <c r="N62" s="385"/>
      <c r="O62" s="385"/>
      <c r="P62" s="385"/>
      <c r="Q62" s="385"/>
      <c r="R62" s="385"/>
      <c r="S62" s="385"/>
      <c r="T62" s="385"/>
      <c r="U62" s="837"/>
      <c r="V62" s="356"/>
      <c r="W62" s="356"/>
      <c r="X62" s="356"/>
      <c r="Y62" s="356">
        <v>90000</v>
      </c>
      <c r="Z62" s="387"/>
      <c r="AA62" s="353">
        <f t="shared" si="13"/>
        <v>90000</v>
      </c>
      <c r="AB62" s="358"/>
      <c r="AC62" s="388"/>
      <c r="AD62" s="388"/>
      <c r="AE62" s="388"/>
      <c r="AF62" s="388"/>
      <c r="AG62" s="388"/>
      <c r="AH62" s="388"/>
      <c r="AI62" s="388"/>
      <c r="AJ62" s="388"/>
      <c r="AK62" s="438"/>
      <c r="AL62" s="436"/>
      <c r="AM62" s="881">
        <f t="shared" si="10"/>
        <v>90000</v>
      </c>
      <c r="AN62" s="386"/>
    </row>
    <row r="63" spans="1:40" s="1155" customFormat="1" ht="21.75" thickBot="1" x14ac:dyDescent="0.4">
      <c r="A63" s="380" t="s">
        <v>25</v>
      </c>
      <c r="B63" s="378">
        <v>167772482</v>
      </c>
      <c r="C63" s="888" t="s">
        <v>650</v>
      </c>
      <c r="D63" s="889" t="s">
        <v>654</v>
      </c>
      <c r="E63" s="383"/>
      <c r="F63" s="799"/>
      <c r="G63" s="799"/>
      <c r="H63" s="799">
        <f t="shared" si="16"/>
        <v>26400</v>
      </c>
      <c r="I63" s="383"/>
      <c r="J63" s="384">
        <f t="shared" si="12"/>
        <v>26400</v>
      </c>
      <c r="K63" s="1049"/>
      <c r="L63" s="385"/>
      <c r="M63" s="460"/>
      <c r="N63" s="385"/>
      <c r="O63" s="385"/>
      <c r="P63" s="385"/>
      <c r="Q63" s="385"/>
      <c r="R63" s="385"/>
      <c r="S63" s="385"/>
      <c r="T63" s="385"/>
      <c r="U63" s="837"/>
      <c r="V63" s="356"/>
      <c r="W63" s="356"/>
      <c r="X63" s="356"/>
      <c r="Y63" s="356">
        <v>30000</v>
      </c>
      <c r="Z63" s="387"/>
      <c r="AA63" s="353">
        <f t="shared" si="13"/>
        <v>30000</v>
      </c>
      <c r="AB63" s="358"/>
      <c r="AC63" s="388"/>
      <c r="AD63" s="388"/>
      <c r="AE63" s="388"/>
      <c r="AF63" s="388"/>
      <c r="AG63" s="388"/>
      <c r="AH63" s="388"/>
      <c r="AI63" s="388"/>
      <c r="AJ63" s="388"/>
      <c r="AK63" s="438"/>
      <c r="AL63" s="436">
        <v>3600</v>
      </c>
      <c r="AM63" s="881">
        <f t="shared" si="10"/>
        <v>26400</v>
      </c>
      <c r="AN63" s="386" t="s">
        <v>673</v>
      </c>
    </row>
    <row r="64" spans="1:40" s="1155" customFormat="1" ht="21.75" thickBot="1" x14ac:dyDescent="0.4">
      <c r="A64" s="380" t="s">
        <v>25</v>
      </c>
      <c r="B64" s="378">
        <v>167772491</v>
      </c>
      <c r="C64" s="888" t="s">
        <v>649</v>
      </c>
      <c r="D64" s="889" t="s">
        <v>653</v>
      </c>
      <c r="E64" s="383">
        <f t="shared" si="14"/>
        <v>0</v>
      </c>
      <c r="F64" s="799">
        <f t="shared" si="11"/>
        <v>0</v>
      </c>
      <c r="G64" s="799">
        <f t="shared" si="15"/>
        <v>0</v>
      </c>
      <c r="H64" s="799">
        <f t="shared" si="16"/>
        <v>0</v>
      </c>
      <c r="I64" s="383">
        <f t="shared" si="17"/>
        <v>90000</v>
      </c>
      <c r="J64" s="384">
        <f t="shared" si="12"/>
        <v>90000</v>
      </c>
      <c r="K64" s="1049">
        <f t="shared" si="18"/>
        <v>0</v>
      </c>
      <c r="L64" s="385"/>
      <c r="M64" s="460"/>
      <c r="N64" s="385"/>
      <c r="O64" s="385"/>
      <c r="P64" s="385"/>
      <c r="Q64" s="385"/>
      <c r="R64" s="385"/>
      <c r="S64" s="385"/>
      <c r="T64" s="385"/>
      <c r="U64" s="837"/>
      <c r="V64" s="356"/>
      <c r="W64" s="356"/>
      <c r="X64" s="356"/>
      <c r="Y64" s="356"/>
      <c r="Z64" s="387">
        <v>90000</v>
      </c>
      <c r="AA64" s="353">
        <f t="shared" si="13"/>
        <v>90000</v>
      </c>
      <c r="AB64" s="358"/>
      <c r="AC64" s="388"/>
      <c r="AD64" s="388"/>
      <c r="AE64" s="388"/>
      <c r="AF64" s="388"/>
      <c r="AG64" s="388"/>
      <c r="AH64" s="388"/>
      <c r="AI64" s="388"/>
      <c r="AJ64" s="388"/>
      <c r="AK64" s="438"/>
      <c r="AL64" s="436"/>
      <c r="AM64" s="881">
        <f t="shared" si="10"/>
        <v>90000</v>
      </c>
      <c r="AN64" s="386"/>
    </row>
    <row r="65" spans="1:40" s="1155" customFormat="1" ht="21.75" thickBot="1" x14ac:dyDescent="0.4">
      <c r="A65" s="380" t="s">
        <v>25</v>
      </c>
      <c r="B65" s="378">
        <v>167772482</v>
      </c>
      <c r="C65" s="888" t="s">
        <v>650</v>
      </c>
      <c r="D65" s="889" t="s">
        <v>654</v>
      </c>
      <c r="E65" s="383"/>
      <c r="F65" s="799"/>
      <c r="G65" s="799"/>
      <c r="H65" s="799"/>
      <c r="I65" s="383">
        <f t="shared" si="17"/>
        <v>26400</v>
      </c>
      <c r="J65" s="384">
        <f t="shared" si="12"/>
        <v>26400</v>
      </c>
      <c r="K65" s="1049"/>
      <c r="L65" s="385"/>
      <c r="M65" s="460"/>
      <c r="N65" s="385"/>
      <c r="O65" s="385"/>
      <c r="P65" s="385"/>
      <c r="Q65" s="385"/>
      <c r="R65" s="385"/>
      <c r="S65" s="385"/>
      <c r="T65" s="385"/>
      <c r="U65" s="837"/>
      <c r="V65" s="356"/>
      <c r="W65" s="356"/>
      <c r="X65" s="356"/>
      <c r="Y65" s="356"/>
      <c r="Z65" s="387">
        <v>30000</v>
      </c>
      <c r="AA65" s="353">
        <f t="shared" si="13"/>
        <v>30000</v>
      </c>
      <c r="AB65" s="358"/>
      <c r="AC65" s="388"/>
      <c r="AD65" s="388"/>
      <c r="AE65" s="388"/>
      <c r="AF65" s="388"/>
      <c r="AG65" s="388"/>
      <c r="AH65" s="388"/>
      <c r="AI65" s="388"/>
      <c r="AJ65" s="388"/>
      <c r="AK65" s="438"/>
      <c r="AL65" s="436">
        <v>3600</v>
      </c>
      <c r="AM65" s="881">
        <f t="shared" si="10"/>
        <v>26400</v>
      </c>
      <c r="AN65" s="386" t="s">
        <v>673</v>
      </c>
    </row>
    <row r="66" spans="1:40" s="1155" customFormat="1" ht="21.75" thickBot="1" x14ac:dyDescent="0.4">
      <c r="A66" s="380" t="s">
        <v>25</v>
      </c>
      <c r="B66" s="378">
        <v>167772479</v>
      </c>
      <c r="C66" s="888" t="s">
        <v>651</v>
      </c>
      <c r="D66" s="889" t="s">
        <v>654</v>
      </c>
      <c r="E66" s="383">
        <f t="shared" si="14"/>
        <v>41825</v>
      </c>
      <c r="F66" s="799"/>
      <c r="G66" s="799"/>
      <c r="H66" s="799"/>
      <c r="I66" s="383"/>
      <c r="J66" s="384">
        <f t="shared" si="12"/>
        <v>0</v>
      </c>
      <c r="K66" s="1049"/>
      <c r="L66" s="385"/>
      <c r="M66" s="460"/>
      <c r="N66" s="385"/>
      <c r="O66" s="385"/>
      <c r="P66" s="385"/>
      <c r="Q66" s="385"/>
      <c r="R66" s="385"/>
      <c r="S66" s="385"/>
      <c r="T66" s="385"/>
      <c r="U66" s="837"/>
      <c r="V66" s="356">
        <v>237500</v>
      </c>
      <c r="W66" s="356"/>
      <c r="X66" s="356"/>
      <c r="Y66" s="356"/>
      <c r="Z66" s="387"/>
      <c r="AA66" s="353">
        <f t="shared" si="13"/>
        <v>0</v>
      </c>
      <c r="AB66" s="358"/>
      <c r="AC66" s="388"/>
      <c r="AD66" s="388"/>
      <c r="AE66" s="388"/>
      <c r="AF66" s="388"/>
      <c r="AG66" s="388"/>
      <c r="AH66" s="388"/>
      <c r="AI66" s="388"/>
      <c r="AJ66" s="388"/>
      <c r="AK66" s="438"/>
      <c r="AL66" s="436">
        <f>37500+158175</f>
        <v>195675</v>
      </c>
      <c r="AM66" s="881">
        <f t="shared" si="10"/>
        <v>41825</v>
      </c>
      <c r="AN66" s="386" t="s">
        <v>698</v>
      </c>
    </row>
    <row r="67" spans="1:40" s="1155" customFormat="1" ht="21.75" thickBot="1" x14ac:dyDescent="0.4">
      <c r="A67" s="380" t="s">
        <v>25</v>
      </c>
      <c r="B67" s="378">
        <v>167772493</v>
      </c>
      <c r="C67" s="888" t="s">
        <v>649</v>
      </c>
      <c r="D67" s="889" t="s">
        <v>653</v>
      </c>
      <c r="E67" s="383">
        <f t="shared" si="14"/>
        <v>0</v>
      </c>
      <c r="F67" s="799">
        <f t="shared" si="11"/>
        <v>0</v>
      </c>
      <c r="G67" s="799">
        <f t="shared" si="15"/>
        <v>0</v>
      </c>
      <c r="H67" s="799">
        <f t="shared" si="16"/>
        <v>0</v>
      </c>
      <c r="I67" s="383">
        <f t="shared" si="17"/>
        <v>0</v>
      </c>
      <c r="J67" s="384">
        <f t="shared" si="12"/>
        <v>0</v>
      </c>
      <c r="K67" s="1049">
        <f t="shared" si="18"/>
        <v>300000</v>
      </c>
      <c r="L67" s="385"/>
      <c r="M67" s="460"/>
      <c r="N67" s="385"/>
      <c r="O67" s="385"/>
      <c r="P67" s="385"/>
      <c r="Q67" s="385"/>
      <c r="R67" s="385"/>
      <c r="S67" s="385"/>
      <c r="T67" s="385"/>
      <c r="U67" s="837"/>
      <c r="V67" s="356"/>
      <c r="W67" s="356"/>
      <c r="X67" s="356"/>
      <c r="Y67" s="356"/>
      <c r="Z67" s="387"/>
      <c r="AA67" s="353">
        <f t="shared" si="13"/>
        <v>0</v>
      </c>
      <c r="AB67" s="358">
        <v>300000</v>
      </c>
      <c r="AC67" s="388"/>
      <c r="AD67" s="388"/>
      <c r="AE67" s="388"/>
      <c r="AF67" s="388"/>
      <c r="AG67" s="388"/>
      <c r="AH67" s="388"/>
      <c r="AI67" s="388"/>
      <c r="AJ67" s="388"/>
      <c r="AK67" s="438"/>
      <c r="AL67" s="436"/>
      <c r="AM67" s="881">
        <f t="shared" si="10"/>
        <v>300000</v>
      </c>
      <c r="AN67" s="386"/>
    </row>
    <row r="68" spans="1:40" s="1155" customFormat="1" ht="21.75" thickBot="1" x14ac:dyDescent="0.4">
      <c r="A68" s="850" t="s">
        <v>25</v>
      </c>
      <c r="B68" s="846">
        <v>167772483</v>
      </c>
      <c r="C68" s="903" t="s">
        <v>652</v>
      </c>
      <c r="D68" s="863" t="s">
        <v>654</v>
      </c>
      <c r="E68" s="665"/>
      <c r="F68" s="798"/>
      <c r="G68" s="798"/>
      <c r="H68" s="798"/>
      <c r="I68" s="665"/>
      <c r="J68" s="666">
        <f t="shared" si="12"/>
        <v>0</v>
      </c>
      <c r="K68" s="667">
        <f t="shared" si="18"/>
        <v>0</v>
      </c>
      <c r="L68" s="655"/>
      <c r="M68" s="1095"/>
      <c r="N68" s="655"/>
      <c r="O68" s="655"/>
      <c r="P68" s="655"/>
      <c r="Q68" s="655"/>
      <c r="R68" s="655"/>
      <c r="S68" s="655"/>
      <c r="T68" s="655"/>
      <c r="U68" s="1153"/>
      <c r="V68" s="665"/>
      <c r="W68" s="665"/>
      <c r="X68" s="665"/>
      <c r="Y68" s="665"/>
      <c r="Z68" s="686"/>
      <c r="AA68" s="666">
        <f t="shared" si="13"/>
        <v>0</v>
      </c>
      <c r="AB68" s="667">
        <v>1000000</v>
      </c>
      <c r="AC68" s="655"/>
      <c r="AD68" s="655"/>
      <c r="AE68" s="655"/>
      <c r="AF68" s="655"/>
      <c r="AG68" s="655"/>
      <c r="AH68" s="655"/>
      <c r="AI68" s="655"/>
      <c r="AJ68" s="655"/>
      <c r="AK68" s="687"/>
      <c r="AL68" s="669">
        <v>1000000</v>
      </c>
      <c r="AM68" s="1003">
        <f t="shared" si="10"/>
        <v>0</v>
      </c>
      <c r="AN68" s="1168" t="s">
        <v>658</v>
      </c>
    </row>
    <row r="69" spans="1:40" s="1155" customFormat="1" ht="21.75" thickBot="1" x14ac:dyDescent="0.4">
      <c r="A69" s="380" t="s">
        <v>25</v>
      </c>
      <c r="B69" s="378">
        <v>167772481</v>
      </c>
      <c r="C69" s="888" t="s">
        <v>650</v>
      </c>
      <c r="D69" s="889" t="s">
        <v>654</v>
      </c>
      <c r="E69" s="383">
        <f t="shared" si="14"/>
        <v>0</v>
      </c>
      <c r="F69" s="799">
        <f t="shared" si="11"/>
        <v>0</v>
      </c>
      <c r="G69" s="799">
        <f t="shared" si="15"/>
        <v>0</v>
      </c>
      <c r="H69" s="799">
        <f t="shared" si="16"/>
        <v>0</v>
      </c>
      <c r="I69" s="383">
        <f t="shared" si="17"/>
        <v>0</v>
      </c>
      <c r="J69" s="384">
        <f t="shared" si="12"/>
        <v>0</v>
      </c>
      <c r="K69" s="1049">
        <f t="shared" si="18"/>
        <v>400000</v>
      </c>
      <c r="L69" s="385"/>
      <c r="M69" s="460"/>
      <c r="N69" s="385"/>
      <c r="O69" s="385"/>
      <c r="P69" s="385"/>
      <c r="Q69" s="385"/>
      <c r="R69" s="385"/>
      <c r="S69" s="385"/>
      <c r="T69" s="385"/>
      <c r="U69" s="837"/>
      <c r="V69" s="356"/>
      <c r="W69" s="356"/>
      <c r="X69" s="356"/>
      <c r="Y69" s="356"/>
      <c r="Z69" s="387"/>
      <c r="AA69" s="353">
        <f t="shared" si="13"/>
        <v>0</v>
      </c>
      <c r="AB69" s="358">
        <v>400000</v>
      </c>
      <c r="AC69" s="388"/>
      <c r="AD69" s="388"/>
      <c r="AE69" s="388"/>
      <c r="AF69" s="388"/>
      <c r="AG69" s="388"/>
      <c r="AH69" s="388"/>
      <c r="AI69" s="388"/>
      <c r="AJ69" s="388"/>
      <c r="AK69" s="438"/>
      <c r="AL69" s="436"/>
      <c r="AM69" s="881">
        <f t="shared" si="10"/>
        <v>400000</v>
      </c>
      <c r="AN69" s="386"/>
    </row>
    <row r="70" spans="1:40" s="1155" customFormat="1" ht="21.75" thickBot="1" x14ac:dyDescent="0.4">
      <c r="A70" s="380" t="s">
        <v>25</v>
      </c>
      <c r="B70" s="378">
        <v>167772492</v>
      </c>
      <c r="C70" s="888" t="s">
        <v>649</v>
      </c>
      <c r="D70" s="889" t="s">
        <v>653</v>
      </c>
      <c r="E70" s="383">
        <f t="shared" si="14"/>
        <v>0</v>
      </c>
      <c r="F70" s="799">
        <f t="shared" si="11"/>
        <v>0</v>
      </c>
      <c r="G70" s="799">
        <f t="shared" si="15"/>
        <v>0</v>
      </c>
      <c r="H70" s="799">
        <f t="shared" si="16"/>
        <v>0</v>
      </c>
      <c r="I70" s="383">
        <f t="shared" si="17"/>
        <v>0</v>
      </c>
      <c r="J70" s="384">
        <f t="shared" si="12"/>
        <v>0</v>
      </c>
      <c r="K70" s="1049">
        <f t="shared" si="18"/>
        <v>0</v>
      </c>
      <c r="L70" s="385"/>
      <c r="M70" s="460"/>
      <c r="N70" s="385"/>
      <c r="O70" s="385"/>
      <c r="P70" s="385">
        <f>AG70-AL70</f>
        <v>4000</v>
      </c>
      <c r="Q70" s="385"/>
      <c r="R70" s="385"/>
      <c r="S70" s="385"/>
      <c r="T70" s="385"/>
      <c r="U70" s="837"/>
      <c r="V70" s="356"/>
      <c r="W70" s="356"/>
      <c r="X70" s="356"/>
      <c r="Y70" s="356"/>
      <c r="Z70" s="387"/>
      <c r="AA70" s="353">
        <f t="shared" si="13"/>
        <v>0</v>
      </c>
      <c r="AB70" s="358"/>
      <c r="AC70" s="388"/>
      <c r="AD70" s="388"/>
      <c r="AE70" s="388"/>
      <c r="AF70" s="388"/>
      <c r="AG70" s="388">
        <v>4000</v>
      </c>
      <c r="AH70" s="388"/>
      <c r="AI70" s="388"/>
      <c r="AJ70" s="388"/>
      <c r="AK70" s="438"/>
      <c r="AL70" s="436"/>
      <c r="AM70" s="881">
        <f t="shared" si="10"/>
        <v>4000</v>
      </c>
      <c r="AN70" s="386"/>
    </row>
    <row r="71" spans="1:40" s="1155" customFormat="1" ht="21.75" thickBot="1" x14ac:dyDescent="0.4">
      <c r="A71" s="380" t="s">
        <v>25</v>
      </c>
      <c r="B71" s="378">
        <v>167772493</v>
      </c>
      <c r="C71" s="888" t="s">
        <v>649</v>
      </c>
      <c r="D71" s="889" t="s">
        <v>653</v>
      </c>
      <c r="E71" s="383">
        <f t="shared" si="14"/>
        <v>0</v>
      </c>
      <c r="F71" s="799">
        <f t="shared" si="11"/>
        <v>0</v>
      </c>
      <c r="G71" s="799">
        <f t="shared" si="15"/>
        <v>0</v>
      </c>
      <c r="H71" s="799">
        <f t="shared" si="16"/>
        <v>0</v>
      </c>
      <c r="I71" s="383">
        <f t="shared" si="17"/>
        <v>0</v>
      </c>
      <c r="J71" s="384">
        <f t="shared" si="12"/>
        <v>0</v>
      </c>
      <c r="K71" s="1049">
        <f t="shared" si="18"/>
        <v>0</v>
      </c>
      <c r="L71" s="385"/>
      <c r="M71" s="460"/>
      <c r="N71" s="385"/>
      <c r="O71" s="385"/>
      <c r="P71" s="385"/>
      <c r="Q71" s="385">
        <f>AH71-AL71</f>
        <v>100000</v>
      </c>
      <c r="R71" s="385"/>
      <c r="S71" s="385"/>
      <c r="T71" s="385"/>
      <c r="U71" s="837"/>
      <c r="V71" s="356"/>
      <c r="W71" s="356"/>
      <c r="X71" s="356"/>
      <c r="Y71" s="356"/>
      <c r="Z71" s="387"/>
      <c r="AA71" s="353">
        <f t="shared" si="13"/>
        <v>0</v>
      </c>
      <c r="AB71" s="358"/>
      <c r="AC71" s="388"/>
      <c r="AD71" s="388"/>
      <c r="AE71" s="388"/>
      <c r="AF71" s="388"/>
      <c r="AG71" s="388"/>
      <c r="AH71" s="388">
        <v>100000</v>
      </c>
      <c r="AI71" s="388"/>
      <c r="AJ71" s="388"/>
      <c r="AK71" s="438"/>
      <c r="AL71" s="436"/>
      <c r="AM71" s="881">
        <f t="shared" si="10"/>
        <v>100000</v>
      </c>
      <c r="AN71" s="386"/>
    </row>
    <row r="72" spans="1:40" s="1155" customFormat="1" ht="21.75" thickBot="1" x14ac:dyDescent="0.4">
      <c r="A72" s="850" t="s">
        <v>25</v>
      </c>
      <c r="B72" s="846">
        <v>167772495</v>
      </c>
      <c r="C72" s="903" t="s">
        <v>657</v>
      </c>
      <c r="D72" s="863" t="s">
        <v>653</v>
      </c>
      <c r="E72" s="665"/>
      <c r="F72" s="798"/>
      <c r="G72" s="798"/>
      <c r="H72" s="798"/>
      <c r="I72" s="665"/>
      <c r="J72" s="666"/>
      <c r="K72" s="667"/>
      <c r="L72" s="655"/>
      <c r="M72" s="1095">
        <f>AD72-AL72</f>
        <v>0</v>
      </c>
      <c r="N72" s="655"/>
      <c r="O72" s="655"/>
      <c r="P72" s="655"/>
      <c r="Q72" s="655"/>
      <c r="R72" s="655"/>
      <c r="S72" s="655"/>
      <c r="T72" s="655"/>
      <c r="U72" s="1153"/>
      <c r="V72" s="665"/>
      <c r="W72" s="665"/>
      <c r="X72" s="665"/>
      <c r="Y72" s="665"/>
      <c r="Z72" s="686"/>
      <c r="AA72" s="666"/>
      <c r="AB72" s="667"/>
      <c r="AC72" s="655"/>
      <c r="AD72" s="655">
        <v>10000</v>
      </c>
      <c r="AE72" s="655"/>
      <c r="AF72" s="655"/>
      <c r="AG72" s="655"/>
      <c r="AH72" s="655"/>
      <c r="AI72" s="655"/>
      <c r="AJ72" s="655"/>
      <c r="AK72" s="687"/>
      <c r="AL72" s="669">
        <v>10000</v>
      </c>
      <c r="AM72" s="1003">
        <f t="shared" si="10"/>
        <v>0</v>
      </c>
      <c r="AN72" s="852" t="s">
        <v>689</v>
      </c>
    </row>
    <row r="73" spans="1:40" s="1155" customFormat="1" ht="21.75" thickBot="1" x14ac:dyDescent="0.4">
      <c r="A73" s="850" t="s">
        <v>25</v>
      </c>
      <c r="B73" s="846">
        <v>167772495</v>
      </c>
      <c r="C73" s="903" t="s">
        <v>657</v>
      </c>
      <c r="D73" s="863" t="s">
        <v>653</v>
      </c>
      <c r="E73" s="665"/>
      <c r="F73" s="798"/>
      <c r="G73" s="798"/>
      <c r="H73" s="798"/>
      <c r="I73" s="665"/>
      <c r="J73" s="666"/>
      <c r="K73" s="667"/>
      <c r="L73" s="655"/>
      <c r="M73" s="1095"/>
      <c r="N73" s="655">
        <f>AE73-AL73</f>
        <v>0</v>
      </c>
      <c r="O73" s="655"/>
      <c r="P73" s="655"/>
      <c r="Q73" s="655"/>
      <c r="R73" s="655"/>
      <c r="S73" s="655"/>
      <c r="T73" s="655"/>
      <c r="U73" s="1153"/>
      <c r="V73" s="665"/>
      <c r="W73" s="665"/>
      <c r="X73" s="665"/>
      <c r="Y73" s="665"/>
      <c r="Z73" s="686"/>
      <c r="AA73" s="666"/>
      <c r="AB73" s="667"/>
      <c r="AC73" s="655"/>
      <c r="AD73" s="655"/>
      <c r="AE73" s="655">
        <v>7000</v>
      </c>
      <c r="AF73" s="655"/>
      <c r="AG73" s="655"/>
      <c r="AH73" s="655"/>
      <c r="AI73" s="655"/>
      <c r="AJ73" s="655"/>
      <c r="AK73" s="687"/>
      <c r="AL73" s="669">
        <v>7000</v>
      </c>
      <c r="AM73" s="1003">
        <f t="shared" si="10"/>
        <v>0</v>
      </c>
      <c r="AN73" s="852" t="s">
        <v>689</v>
      </c>
    </row>
    <row r="74" spans="1:40" s="1155" customFormat="1" ht="21.75" thickBot="1" x14ac:dyDescent="0.4">
      <c r="A74" s="380" t="s">
        <v>25</v>
      </c>
      <c r="B74" s="378">
        <v>167772494</v>
      </c>
      <c r="C74" s="888" t="s">
        <v>649</v>
      </c>
      <c r="D74" s="889" t="s">
        <v>653</v>
      </c>
      <c r="E74" s="383"/>
      <c r="F74" s="799"/>
      <c r="G74" s="799"/>
      <c r="H74" s="799"/>
      <c r="I74" s="383"/>
      <c r="J74" s="384"/>
      <c r="K74" s="1049"/>
      <c r="L74" s="385">
        <f>AC74-AL74</f>
        <v>150000</v>
      </c>
      <c r="M74" s="460"/>
      <c r="N74" s="385"/>
      <c r="O74" s="385"/>
      <c r="P74" s="385"/>
      <c r="Q74" s="385"/>
      <c r="R74" s="385"/>
      <c r="S74" s="385"/>
      <c r="T74" s="385"/>
      <c r="U74" s="837"/>
      <c r="V74" s="356"/>
      <c r="W74" s="356"/>
      <c r="X74" s="356"/>
      <c r="Y74" s="356"/>
      <c r="Z74" s="387"/>
      <c r="AA74" s="353"/>
      <c r="AB74" s="358"/>
      <c r="AC74" s="388">
        <v>150000</v>
      </c>
      <c r="AD74" s="388"/>
      <c r="AE74" s="388"/>
      <c r="AF74" s="388"/>
      <c r="AG74" s="388"/>
      <c r="AH74" s="388"/>
      <c r="AI74" s="388"/>
      <c r="AJ74" s="388"/>
      <c r="AK74" s="955"/>
      <c r="AL74" s="436"/>
      <c r="AM74" s="881">
        <f t="shared" si="10"/>
        <v>150000</v>
      </c>
      <c r="AN74" s="386"/>
    </row>
    <row r="75" spans="1:40" s="1155" customFormat="1" ht="21.75" thickBot="1" x14ac:dyDescent="0.4">
      <c r="A75" s="380" t="s">
        <v>25</v>
      </c>
      <c r="B75" s="378">
        <v>167772564</v>
      </c>
      <c r="C75" s="888">
        <v>45996</v>
      </c>
      <c r="D75" s="889">
        <v>46203</v>
      </c>
      <c r="E75" s="383">
        <f t="shared" ref="E75:E76" si="19">V75-AL75</f>
        <v>225000</v>
      </c>
      <c r="F75" s="799"/>
      <c r="G75" s="799"/>
      <c r="H75" s="799"/>
      <c r="I75" s="383"/>
      <c r="J75" s="384"/>
      <c r="K75" s="383"/>
      <c r="L75" s="385"/>
      <c r="M75" s="460"/>
      <c r="N75" s="385"/>
      <c r="O75" s="385"/>
      <c r="P75" s="385"/>
      <c r="Q75" s="385"/>
      <c r="R75" s="385"/>
      <c r="S75" s="385"/>
      <c r="T75" s="385"/>
      <c r="U75" s="837"/>
      <c r="V75" s="356">
        <v>225000</v>
      </c>
      <c r="W75" s="356"/>
      <c r="X75" s="356"/>
      <c r="Y75" s="356"/>
      <c r="Z75" s="387"/>
      <c r="AA75" s="353"/>
      <c r="AB75" s="356"/>
      <c r="AC75" s="388"/>
      <c r="AD75" s="388"/>
      <c r="AE75" s="388"/>
      <c r="AF75" s="388"/>
      <c r="AG75" s="388"/>
      <c r="AH75" s="388"/>
      <c r="AI75" s="388"/>
      <c r="AJ75" s="388"/>
      <c r="AK75" s="955"/>
      <c r="AL75" s="436"/>
      <c r="AM75" s="881">
        <f t="shared" si="10"/>
        <v>225000</v>
      </c>
      <c r="AN75" s="386"/>
    </row>
    <row r="76" spans="1:40" s="1155" customFormat="1" ht="21.75" thickBot="1" x14ac:dyDescent="0.4">
      <c r="A76" s="380" t="s">
        <v>25</v>
      </c>
      <c r="B76" s="378">
        <v>167772565</v>
      </c>
      <c r="C76" s="888">
        <v>46000</v>
      </c>
      <c r="D76" s="889">
        <v>46052</v>
      </c>
      <c r="E76" s="383">
        <f t="shared" si="19"/>
        <v>0</v>
      </c>
      <c r="F76" s="799">
        <f t="shared" ref="F76" si="20">W76-AL76</f>
        <v>0</v>
      </c>
      <c r="G76" s="799">
        <f t="shared" ref="G76" si="21">X76-AL76</f>
        <v>0</v>
      </c>
      <c r="H76" s="799">
        <f t="shared" ref="H76" si="22">Y76-AL76</f>
        <v>0</v>
      </c>
      <c r="I76" s="383">
        <f t="shared" ref="I76" si="23">Z76-AL76</f>
        <v>0</v>
      </c>
      <c r="J76" s="384">
        <f t="shared" ref="J76" si="24">SUM(F76:I76)</f>
        <v>0</v>
      </c>
      <c r="K76" s="1049">
        <f t="shared" ref="K76" si="25">AB76-AL76</f>
        <v>400000</v>
      </c>
      <c r="L76" s="385"/>
      <c r="M76" s="460"/>
      <c r="N76" s="385"/>
      <c r="O76" s="385"/>
      <c r="P76" s="385"/>
      <c r="Q76" s="385"/>
      <c r="R76" s="385"/>
      <c r="S76" s="385"/>
      <c r="T76" s="385"/>
      <c r="U76" s="837"/>
      <c r="V76" s="356"/>
      <c r="W76" s="356"/>
      <c r="X76" s="356"/>
      <c r="Y76" s="356"/>
      <c r="Z76" s="387"/>
      <c r="AA76" s="353">
        <f t="shared" ref="AA76" si="26">SUM(W76:Z76)</f>
        <v>0</v>
      </c>
      <c r="AB76" s="358">
        <v>400000</v>
      </c>
      <c r="AC76" s="388"/>
      <c r="AD76" s="388"/>
      <c r="AE76" s="388"/>
      <c r="AF76" s="388"/>
      <c r="AG76" s="388"/>
      <c r="AH76" s="388"/>
      <c r="AI76" s="388"/>
      <c r="AJ76" s="388"/>
      <c r="AK76" s="438"/>
      <c r="AL76" s="436"/>
      <c r="AM76" s="881">
        <f t="shared" si="10"/>
        <v>400000</v>
      </c>
      <c r="AN76" s="386"/>
    </row>
    <row r="77" spans="1:40" s="379" customFormat="1" ht="24" customHeight="1" thickBot="1" x14ac:dyDescent="0.4">
      <c r="A77" s="444"/>
      <c r="B77" s="445" t="s">
        <v>24</v>
      </c>
      <c r="C77" s="446"/>
      <c r="D77" s="447"/>
      <c r="E77" s="1098">
        <f>SUM(E6:E76)</f>
        <v>266825</v>
      </c>
      <c r="F77" s="1098">
        <f>SUM(F6:F76)</f>
        <v>176400</v>
      </c>
      <c r="G77" s="1098">
        <f t="shared" ref="G77:J77" si="27">SUM(G6:G76)</f>
        <v>116400</v>
      </c>
      <c r="H77" s="1098">
        <f t="shared" si="27"/>
        <v>118560</v>
      </c>
      <c r="I77" s="1098">
        <f t="shared" si="27"/>
        <v>118560</v>
      </c>
      <c r="J77" s="1098">
        <f t="shared" si="27"/>
        <v>529920</v>
      </c>
      <c r="K77" s="1098">
        <f>SUM(K6:K76)</f>
        <v>1100000</v>
      </c>
      <c r="L77" s="1098">
        <f t="shared" ref="L77:AL77" si="28">SUM(L6:L76)</f>
        <v>150000</v>
      </c>
      <c r="M77" s="1098">
        <f t="shared" si="28"/>
        <v>0</v>
      </c>
      <c r="N77" s="1098">
        <f t="shared" si="28"/>
        <v>0</v>
      </c>
      <c r="O77" s="1098">
        <f t="shared" si="28"/>
        <v>0</v>
      </c>
      <c r="P77" s="1098">
        <f t="shared" si="28"/>
        <v>4000</v>
      </c>
      <c r="Q77" s="1098">
        <f t="shared" si="28"/>
        <v>100000</v>
      </c>
      <c r="R77" s="1098">
        <f t="shared" si="28"/>
        <v>0</v>
      </c>
      <c r="S77" s="1098">
        <f t="shared" si="28"/>
        <v>0</v>
      </c>
      <c r="T77" s="1098">
        <f t="shared" si="28"/>
        <v>0</v>
      </c>
      <c r="U77" s="1200">
        <f t="shared" si="28"/>
        <v>0</v>
      </c>
      <c r="V77" s="1098">
        <f t="shared" si="28"/>
        <v>1937500</v>
      </c>
      <c r="W77" s="1098">
        <f t="shared" si="28"/>
        <v>369050</v>
      </c>
      <c r="X77" s="1098">
        <f t="shared" si="28"/>
        <v>267200</v>
      </c>
      <c r="Y77" s="1098">
        <f t="shared" si="28"/>
        <v>244830</v>
      </c>
      <c r="Z77" s="1098">
        <f t="shared" si="28"/>
        <v>238710</v>
      </c>
      <c r="AA77" s="1098">
        <f t="shared" si="28"/>
        <v>1016140</v>
      </c>
      <c r="AB77" s="1098">
        <f t="shared" si="28"/>
        <v>13244500</v>
      </c>
      <c r="AC77" s="1098">
        <f t="shared" si="28"/>
        <v>1271800</v>
      </c>
      <c r="AD77" s="1098">
        <f t="shared" si="28"/>
        <v>90000</v>
      </c>
      <c r="AE77" s="1098">
        <f t="shared" si="28"/>
        <v>107000</v>
      </c>
      <c r="AF77" s="1098">
        <f t="shared" si="28"/>
        <v>22319</v>
      </c>
      <c r="AG77" s="1098">
        <f t="shared" si="28"/>
        <v>5760</v>
      </c>
      <c r="AH77" s="1098">
        <f t="shared" si="28"/>
        <v>396400</v>
      </c>
      <c r="AI77" s="1098">
        <f t="shared" si="28"/>
        <v>0</v>
      </c>
      <c r="AJ77" s="1098">
        <f t="shared" si="28"/>
        <v>0</v>
      </c>
      <c r="AK77" s="1098">
        <f t="shared" si="28"/>
        <v>22284</v>
      </c>
      <c r="AL77" s="1098">
        <f t="shared" si="28"/>
        <v>16066608</v>
      </c>
      <c r="AM77" s="1098">
        <f>SUM(AM6:AM76)</f>
        <v>2150745</v>
      </c>
      <c r="AN77" s="452"/>
    </row>
    <row r="78" spans="1:40" s="381" customFormat="1" ht="21.75" thickBot="1" x14ac:dyDescent="0.4">
      <c r="A78" s="850" t="s">
        <v>26</v>
      </c>
      <c r="B78" s="846">
        <v>935</v>
      </c>
      <c r="C78" s="847" t="s">
        <v>151</v>
      </c>
      <c r="D78" s="849" t="s">
        <v>152</v>
      </c>
      <c r="E78" s="664">
        <v>0</v>
      </c>
      <c r="F78" s="798">
        <v>0</v>
      </c>
      <c r="G78" s="665">
        <v>0</v>
      </c>
      <c r="H78" s="665">
        <v>0</v>
      </c>
      <c r="I78" s="665">
        <v>0</v>
      </c>
      <c r="J78" s="666">
        <f t="shared" ref="J78:J93" si="29">SUM(F78:I78)</f>
        <v>0</v>
      </c>
      <c r="K78" s="667">
        <v>0</v>
      </c>
      <c r="L78" s="655">
        <v>0</v>
      </c>
      <c r="M78" s="655">
        <v>0</v>
      </c>
      <c r="N78" s="655">
        <v>0</v>
      </c>
      <c r="O78" s="655"/>
      <c r="P78" s="655">
        <v>0</v>
      </c>
      <c r="Q78" s="655">
        <v>0</v>
      </c>
      <c r="R78" s="655">
        <v>0</v>
      </c>
      <c r="S78" s="655">
        <v>0</v>
      </c>
      <c r="T78" s="655">
        <v>0</v>
      </c>
      <c r="U78" s="837"/>
      <c r="V78" s="664">
        <v>0</v>
      </c>
      <c r="W78" s="665">
        <v>0</v>
      </c>
      <c r="X78" s="665">
        <v>0</v>
      </c>
      <c r="Y78" s="665">
        <v>0</v>
      </c>
      <c r="Z78" s="665">
        <v>0</v>
      </c>
      <c r="AA78" s="665">
        <f t="shared" ref="AA78:AA129" si="30">SUM(W78:Z78)</f>
        <v>0</v>
      </c>
      <c r="AB78" s="667">
        <v>0</v>
      </c>
      <c r="AC78" s="655">
        <v>0</v>
      </c>
      <c r="AD78" s="655">
        <v>0</v>
      </c>
      <c r="AE78" s="655">
        <v>0</v>
      </c>
      <c r="AF78" s="655">
        <v>3575</v>
      </c>
      <c r="AG78" s="655">
        <v>0</v>
      </c>
      <c r="AH78" s="655">
        <v>0</v>
      </c>
      <c r="AI78" s="655">
        <v>0</v>
      </c>
      <c r="AJ78" s="655">
        <v>0</v>
      </c>
      <c r="AK78" s="655">
        <v>0</v>
      </c>
      <c r="AL78" s="674">
        <v>3575</v>
      </c>
      <c r="AM78" s="791">
        <f t="shared" ref="AM78:AM88" si="31">(V78+W78+X78+Y78+Z78+AB78+AC78+AD78+AE78+AF78+AG78+AH78+AI78+AJ78+AK78)-AL78</f>
        <v>0</v>
      </c>
      <c r="AN78" s="854" t="s">
        <v>452</v>
      </c>
    </row>
    <row r="79" spans="1:40" s="379" customFormat="1" ht="21.75" thickBot="1" x14ac:dyDescent="0.4">
      <c r="A79" s="660" t="s">
        <v>26</v>
      </c>
      <c r="B79" s="661">
        <v>1000</v>
      </c>
      <c r="C79" s="662" t="s">
        <v>160</v>
      </c>
      <c r="D79" s="672" t="s">
        <v>162</v>
      </c>
      <c r="E79" s="664"/>
      <c r="F79" s="798"/>
      <c r="G79" s="665"/>
      <c r="H79" s="665"/>
      <c r="I79" s="665"/>
      <c r="J79" s="666">
        <f t="shared" si="29"/>
        <v>0</v>
      </c>
      <c r="K79" s="667"/>
      <c r="L79" s="654"/>
      <c r="M79" s="654"/>
      <c r="N79" s="654"/>
      <c r="O79" s="654">
        <f>AF79-AL79</f>
        <v>0</v>
      </c>
      <c r="P79" s="654"/>
      <c r="Q79" s="654"/>
      <c r="R79" s="654"/>
      <c r="S79" s="654"/>
      <c r="T79" s="654"/>
      <c r="U79" s="837"/>
      <c r="V79" s="664"/>
      <c r="W79" s="665"/>
      <c r="X79" s="665"/>
      <c r="Y79" s="665"/>
      <c r="Z79" s="665"/>
      <c r="AA79" s="666">
        <f t="shared" si="30"/>
        <v>0</v>
      </c>
      <c r="AB79" s="667"/>
      <c r="AC79" s="654"/>
      <c r="AD79" s="654"/>
      <c r="AE79" s="654"/>
      <c r="AF79" s="654">
        <v>5960</v>
      </c>
      <c r="AG79" s="654"/>
      <c r="AH79" s="654"/>
      <c r="AI79" s="654"/>
      <c r="AJ79" s="654"/>
      <c r="AK79" s="654"/>
      <c r="AL79" s="674">
        <v>5960</v>
      </c>
      <c r="AM79" s="670">
        <f t="shared" si="31"/>
        <v>0</v>
      </c>
      <c r="AN79" s="709" t="s">
        <v>287</v>
      </c>
    </row>
    <row r="80" spans="1:40" s="379" customFormat="1" ht="21.75" thickBot="1" x14ac:dyDescent="0.4">
      <c r="A80" s="845" t="s">
        <v>26</v>
      </c>
      <c r="B80" s="846">
        <v>1001</v>
      </c>
      <c r="C80" s="847" t="s">
        <v>160</v>
      </c>
      <c r="D80" s="849" t="s">
        <v>162</v>
      </c>
      <c r="E80" s="664"/>
      <c r="F80" s="798"/>
      <c r="G80" s="665"/>
      <c r="H80" s="665"/>
      <c r="I80" s="665"/>
      <c r="J80" s="666">
        <f t="shared" si="29"/>
        <v>0</v>
      </c>
      <c r="K80" s="667"/>
      <c r="L80" s="654"/>
      <c r="M80" s="654"/>
      <c r="N80" s="654"/>
      <c r="O80" s="654"/>
      <c r="P80" s="654"/>
      <c r="Q80" s="654"/>
      <c r="R80" s="654"/>
      <c r="S80" s="654"/>
      <c r="T80" s="654">
        <f>AK80-AL80</f>
        <v>0</v>
      </c>
      <c r="U80" s="837"/>
      <c r="V80" s="664"/>
      <c r="W80" s="665"/>
      <c r="X80" s="665"/>
      <c r="Y80" s="665"/>
      <c r="Z80" s="665"/>
      <c r="AA80" s="666">
        <f t="shared" si="30"/>
        <v>0</v>
      </c>
      <c r="AB80" s="667"/>
      <c r="AC80" s="654"/>
      <c r="AD80" s="654"/>
      <c r="AE80" s="654"/>
      <c r="AF80" s="654"/>
      <c r="AG80" s="654"/>
      <c r="AH80" s="654"/>
      <c r="AI80" s="654"/>
      <c r="AJ80" s="654"/>
      <c r="AK80" s="654">
        <v>4860</v>
      </c>
      <c r="AL80" s="1013">
        <v>4860</v>
      </c>
      <c r="AM80" s="670">
        <f t="shared" si="31"/>
        <v>0</v>
      </c>
      <c r="AN80" s="1012" t="s">
        <v>452</v>
      </c>
    </row>
    <row r="81" spans="1:40" s="379" customFormat="1" ht="21.75" thickBot="1" x14ac:dyDescent="0.4">
      <c r="A81" s="845" t="s">
        <v>26</v>
      </c>
      <c r="B81" s="846">
        <v>1001</v>
      </c>
      <c r="C81" s="847" t="s">
        <v>160</v>
      </c>
      <c r="D81" s="849" t="s">
        <v>162</v>
      </c>
      <c r="E81" s="664"/>
      <c r="F81" s="798"/>
      <c r="G81" s="665"/>
      <c r="H81" s="665"/>
      <c r="I81" s="665"/>
      <c r="J81" s="666">
        <f t="shared" si="29"/>
        <v>0</v>
      </c>
      <c r="K81" s="667"/>
      <c r="L81" s="654"/>
      <c r="M81" s="654"/>
      <c r="N81" s="654"/>
      <c r="O81" s="654"/>
      <c r="P81" s="654"/>
      <c r="Q81" s="654">
        <f>AH81-AL81</f>
        <v>0</v>
      </c>
      <c r="R81" s="654"/>
      <c r="S81" s="654"/>
      <c r="T81" s="654"/>
      <c r="U81" s="837"/>
      <c r="V81" s="664"/>
      <c r="W81" s="665"/>
      <c r="X81" s="665"/>
      <c r="Y81" s="665"/>
      <c r="Z81" s="665"/>
      <c r="AA81" s="666">
        <f t="shared" si="30"/>
        <v>0</v>
      </c>
      <c r="AB81" s="667"/>
      <c r="AC81" s="654"/>
      <c r="AD81" s="654"/>
      <c r="AE81" s="654"/>
      <c r="AF81" s="654"/>
      <c r="AG81" s="654"/>
      <c r="AH81" s="654">
        <v>77100</v>
      </c>
      <c r="AI81" s="654"/>
      <c r="AJ81" s="654"/>
      <c r="AK81" s="654"/>
      <c r="AL81" s="1013">
        <v>77100</v>
      </c>
      <c r="AM81" s="670">
        <f t="shared" si="31"/>
        <v>0</v>
      </c>
      <c r="AN81" s="1012" t="s">
        <v>452</v>
      </c>
    </row>
    <row r="82" spans="1:40" s="379" customFormat="1" ht="21.75" thickBot="1" x14ac:dyDescent="0.4">
      <c r="A82" s="850" t="s">
        <v>26</v>
      </c>
      <c r="B82" s="846">
        <v>1024</v>
      </c>
      <c r="C82" s="847" t="s">
        <v>178</v>
      </c>
      <c r="D82" s="848" t="s">
        <v>179</v>
      </c>
      <c r="E82" s="664">
        <f>V82-AL82</f>
        <v>0</v>
      </c>
      <c r="F82" s="798">
        <v>0</v>
      </c>
      <c r="G82" s="665">
        <v>0</v>
      </c>
      <c r="H82" s="665">
        <f>Y82-AO265</f>
        <v>0</v>
      </c>
      <c r="I82" s="665">
        <f>Z82-AP265</f>
        <v>0</v>
      </c>
      <c r="J82" s="666">
        <f t="shared" si="29"/>
        <v>0</v>
      </c>
      <c r="K82" s="667">
        <f>AB82-AR265</f>
        <v>0</v>
      </c>
      <c r="L82" s="655"/>
      <c r="M82" s="655"/>
      <c r="N82" s="655"/>
      <c r="O82" s="655"/>
      <c r="P82" s="655"/>
      <c r="Q82" s="655"/>
      <c r="R82" s="655"/>
      <c r="S82" s="655"/>
      <c r="T82" s="655"/>
      <c r="U82" s="837"/>
      <c r="V82" s="664">
        <v>187500</v>
      </c>
      <c r="W82" s="665"/>
      <c r="X82" s="665"/>
      <c r="Y82" s="665"/>
      <c r="Z82" s="665"/>
      <c r="AA82" s="666">
        <f t="shared" si="30"/>
        <v>0</v>
      </c>
      <c r="AB82" s="667"/>
      <c r="AC82" s="655"/>
      <c r="AD82" s="655"/>
      <c r="AE82" s="655"/>
      <c r="AF82" s="655"/>
      <c r="AG82" s="655"/>
      <c r="AH82" s="655"/>
      <c r="AI82" s="655"/>
      <c r="AJ82" s="655"/>
      <c r="AK82" s="655"/>
      <c r="AL82" s="674">
        <f>120000+48750+15000+3750</f>
        <v>187500</v>
      </c>
      <c r="AM82" s="791">
        <f t="shared" si="31"/>
        <v>0</v>
      </c>
      <c r="AN82" s="854" t="s">
        <v>368</v>
      </c>
    </row>
    <row r="83" spans="1:40" s="379" customFormat="1" ht="21.75" thickBot="1" x14ac:dyDescent="0.4">
      <c r="A83" s="850" t="s">
        <v>26</v>
      </c>
      <c r="B83" s="846">
        <v>3212</v>
      </c>
      <c r="C83" s="847" t="s">
        <v>189</v>
      </c>
      <c r="D83" s="848" t="s">
        <v>187</v>
      </c>
      <c r="E83" s="664">
        <v>0</v>
      </c>
      <c r="F83" s="798">
        <v>0</v>
      </c>
      <c r="G83" s="665">
        <f>X83-AL83</f>
        <v>0</v>
      </c>
      <c r="H83" s="665">
        <f>Y83-AO267</f>
        <v>0</v>
      </c>
      <c r="I83" s="665">
        <f>Z83-AP267</f>
        <v>0</v>
      </c>
      <c r="J83" s="666">
        <f t="shared" si="29"/>
        <v>0</v>
      </c>
      <c r="K83" s="667">
        <f>AB83-AR267</f>
        <v>0</v>
      </c>
      <c r="L83" s="655"/>
      <c r="M83" s="655"/>
      <c r="N83" s="655"/>
      <c r="O83" s="655"/>
      <c r="P83" s="655"/>
      <c r="Q83" s="655"/>
      <c r="R83" s="655"/>
      <c r="S83" s="655"/>
      <c r="T83" s="655"/>
      <c r="U83" s="837"/>
      <c r="V83" s="665"/>
      <c r="W83" s="665"/>
      <c r="X83" s="665">
        <v>11700</v>
      </c>
      <c r="Y83" s="665"/>
      <c r="Z83" s="665"/>
      <c r="AA83" s="666">
        <f t="shared" si="30"/>
        <v>11700</v>
      </c>
      <c r="AB83" s="667"/>
      <c r="AC83" s="655"/>
      <c r="AD83" s="655"/>
      <c r="AE83" s="655"/>
      <c r="AF83" s="655"/>
      <c r="AG83" s="655"/>
      <c r="AH83" s="655"/>
      <c r="AI83" s="655"/>
      <c r="AJ83" s="655"/>
      <c r="AK83" s="655"/>
      <c r="AL83" s="674">
        <v>11700</v>
      </c>
      <c r="AM83" s="791">
        <f t="shared" si="31"/>
        <v>0</v>
      </c>
      <c r="AN83" s="854" t="s">
        <v>296</v>
      </c>
    </row>
    <row r="84" spans="1:40" s="379" customFormat="1" ht="21.75" thickBot="1" x14ac:dyDescent="0.4">
      <c r="A84" s="845" t="s">
        <v>26</v>
      </c>
      <c r="B84" s="846">
        <v>3212</v>
      </c>
      <c r="C84" s="847" t="s">
        <v>189</v>
      </c>
      <c r="D84" s="848" t="s">
        <v>187</v>
      </c>
      <c r="E84" s="664">
        <v>0</v>
      </c>
      <c r="F84" s="798">
        <v>0</v>
      </c>
      <c r="G84" s="665">
        <v>0</v>
      </c>
      <c r="H84" s="665">
        <f>Y84-AL84</f>
        <v>0</v>
      </c>
      <c r="I84" s="665"/>
      <c r="J84" s="666">
        <f t="shared" si="29"/>
        <v>0</v>
      </c>
      <c r="K84" s="667"/>
      <c r="L84" s="654"/>
      <c r="M84" s="654"/>
      <c r="N84" s="654"/>
      <c r="O84" s="654"/>
      <c r="P84" s="654"/>
      <c r="Q84" s="654"/>
      <c r="R84" s="654"/>
      <c r="S84" s="654"/>
      <c r="T84" s="654"/>
      <c r="U84" s="837"/>
      <c r="V84" s="665"/>
      <c r="W84" s="665"/>
      <c r="X84" s="665"/>
      <c r="Y84" s="665">
        <v>21240</v>
      </c>
      <c r="Z84" s="665"/>
      <c r="AA84" s="666">
        <f t="shared" si="30"/>
        <v>21240</v>
      </c>
      <c r="AB84" s="667"/>
      <c r="AC84" s="654"/>
      <c r="AD84" s="654"/>
      <c r="AE84" s="654"/>
      <c r="AF84" s="654"/>
      <c r="AG84" s="654"/>
      <c r="AH84" s="654"/>
      <c r="AI84" s="654"/>
      <c r="AJ84" s="654"/>
      <c r="AK84" s="654"/>
      <c r="AL84" s="674">
        <v>21240</v>
      </c>
      <c r="AM84" s="670">
        <f t="shared" si="31"/>
        <v>0</v>
      </c>
      <c r="AN84" s="904" t="s">
        <v>348</v>
      </c>
    </row>
    <row r="85" spans="1:40" s="379" customFormat="1" ht="21.75" thickBot="1" x14ac:dyDescent="0.4">
      <c r="A85" s="850" t="s">
        <v>26</v>
      </c>
      <c r="B85" s="846">
        <v>3212</v>
      </c>
      <c r="C85" s="847" t="s">
        <v>189</v>
      </c>
      <c r="D85" s="848" t="s">
        <v>187</v>
      </c>
      <c r="E85" s="664">
        <v>0</v>
      </c>
      <c r="F85" s="798">
        <v>0</v>
      </c>
      <c r="G85" s="665">
        <v>0</v>
      </c>
      <c r="H85" s="665">
        <f>Y85-AL85</f>
        <v>0</v>
      </c>
      <c r="I85" s="665"/>
      <c r="J85" s="666">
        <f t="shared" si="29"/>
        <v>0</v>
      </c>
      <c r="K85" s="667">
        <f>AB85-AR268</f>
        <v>0</v>
      </c>
      <c r="L85" s="655"/>
      <c r="M85" s="655"/>
      <c r="N85" s="655"/>
      <c r="O85" s="655"/>
      <c r="P85" s="655"/>
      <c r="Q85" s="655"/>
      <c r="R85" s="655"/>
      <c r="S85" s="655"/>
      <c r="T85" s="655"/>
      <c r="U85" s="837"/>
      <c r="V85" s="665"/>
      <c r="W85" s="665"/>
      <c r="X85" s="665"/>
      <c r="Y85" s="665">
        <v>21240</v>
      </c>
      <c r="Z85" s="665">
        <v>0</v>
      </c>
      <c r="AA85" s="666">
        <f t="shared" si="30"/>
        <v>21240</v>
      </c>
      <c r="AB85" s="667"/>
      <c r="AC85" s="655"/>
      <c r="AD85" s="655"/>
      <c r="AE85" s="655"/>
      <c r="AF85" s="655"/>
      <c r="AG85" s="655"/>
      <c r="AH85" s="655"/>
      <c r="AI85" s="655"/>
      <c r="AJ85" s="655"/>
      <c r="AK85" s="655"/>
      <c r="AL85" s="674">
        <f>13530+7710</f>
        <v>21240</v>
      </c>
      <c r="AM85" s="791">
        <f t="shared" si="31"/>
        <v>0</v>
      </c>
      <c r="AN85" s="854" t="s">
        <v>295</v>
      </c>
    </row>
    <row r="86" spans="1:40" s="379" customFormat="1" ht="21.75" thickBot="1" x14ac:dyDescent="0.4">
      <c r="A86" s="698" t="s">
        <v>26</v>
      </c>
      <c r="B86" s="699">
        <v>3235</v>
      </c>
      <c r="C86" s="700" t="s">
        <v>189</v>
      </c>
      <c r="D86" s="701" t="s">
        <v>187</v>
      </c>
      <c r="E86" s="702">
        <v>0</v>
      </c>
      <c r="F86" s="801">
        <v>0</v>
      </c>
      <c r="G86" s="703">
        <v>0</v>
      </c>
      <c r="H86" s="703">
        <f>Y86-AO269</f>
        <v>0</v>
      </c>
      <c r="I86" s="703">
        <f>Z86-AL86</f>
        <v>0</v>
      </c>
      <c r="J86" s="704">
        <f t="shared" si="29"/>
        <v>0</v>
      </c>
      <c r="K86" s="705">
        <f>AB86-AR267</f>
        <v>0</v>
      </c>
      <c r="L86" s="706"/>
      <c r="M86" s="706"/>
      <c r="N86" s="706"/>
      <c r="O86" s="706"/>
      <c r="P86" s="706"/>
      <c r="Q86" s="706"/>
      <c r="R86" s="706"/>
      <c r="S86" s="706"/>
      <c r="T86" s="706"/>
      <c r="U86" s="837"/>
      <c r="V86" s="703"/>
      <c r="W86" s="703"/>
      <c r="X86" s="703"/>
      <c r="Y86" s="703"/>
      <c r="Z86" s="703">
        <v>21240</v>
      </c>
      <c r="AA86" s="704">
        <f t="shared" si="30"/>
        <v>21240</v>
      </c>
      <c r="AB86" s="705"/>
      <c r="AC86" s="706"/>
      <c r="AD86" s="706"/>
      <c r="AE86" s="706"/>
      <c r="AF86" s="706"/>
      <c r="AG86" s="706"/>
      <c r="AH86" s="706"/>
      <c r="AI86" s="706"/>
      <c r="AJ86" s="706"/>
      <c r="AK86" s="706"/>
      <c r="AL86" s="707">
        <v>21240</v>
      </c>
      <c r="AM86" s="708">
        <f t="shared" si="31"/>
        <v>0</v>
      </c>
      <c r="AN86" s="710" t="s">
        <v>261</v>
      </c>
    </row>
    <row r="87" spans="1:40" s="381" customFormat="1" ht="21.75" thickBot="1" x14ac:dyDescent="0.4">
      <c r="A87" s="698" t="s">
        <v>26</v>
      </c>
      <c r="B87" s="699">
        <v>3235</v>
      </c>
      <c r="C87" s="700" t="s">
        <v>196</v>
      </c>
      <c r="D87" s="701" t="s">
        <v>195</v>
      </c>
      <c r="E87" s="702">
        <v>0</v>
      </c>
      <c r="F87" s="801">
        <v>0</v>
      </c>
      <c r="G87" s="703">
        <v>0</v>
      </c>
      <c r="H87" s="703">
        <f>Y87-AL87</f>
        <v>0</v>
      </c>
      <c r="I87" s="703">
        <f>Z87-AP271</f>
        <v>0</v>
      </c>
      <c r="J87" s="704">
        <f t="shared" si="29"/>
        <v>0</v>
      </c>
      <c r="K87" s="705">
        <f>AB87-AR269</f>
        <v>0</v>
      </c>
      <c r="L87" s="706"/>
      <c r="M87" s="706"/>
      <c r="N87" s="706"/>
      <c r="O87" s="706"/>
      <c r="P87" s="706"/>
      <c r="Q87" s="706"/>
      <c r="R87" s="706"/>
      <c r="S87" s="706"/>
      <c r="T87" s="706"/>
      <c r="U87" s="837"/>
      <c r="V87" s="703"/>
      <c r="W87" s="703"/>
      <c r="X87" s="703"/>
      <c r="Y87" s="703">
        <v>7710</v>
      </c>
      <c r="Z87" s="703"/>
      <c r="AA87" s="704">
        <f t="shared" si="30"/>
        <v>7710</v>
      </c>
      <c r="AB87" s="705"/>
      <c r="AC87" s="706"/>
      <c r="AD87" s="706"/>
      <c r="AE87" s="706"/>
      <c r="AF87" s="706"/>
      <c r="AG87" s="706"/>
      <c r="AH87" s="706"/>
      <c r="AI87" s="706"/>
      <c r="AJ87" s="706"/>
      <c r="AK87" s="706"/>
      <c r="AL87" s="707">
        <v>7710</v>
      </c>
      <c r="AM87" s="708">
        <f t="shared" si="31"/>
        <v>0</v>
      </c>
      <c r="AN87" s="710" t="s">
        <v>262</v>
      </c>
    </row>
    <row r="88" spans="1:40" s="379" customFormat="1" ht="21.75" thickBot="1" x14ac:dyDescent="0.4">
      <c r="A88" s="698" t="s">
        <v>26</v>
      </c>
      <c r="B88" s="699">
        <v>3235</v>
      </c>
      <c r="C88" s="700" t="s">
        <v>196</v>
      </c>
      <c r="D88" s="701" t="s">
        <v>195</v>
      </c>
      <c r="E88" s="702">
        <v>0</v>
      </c>
      <c r="F88" s="801">
        <v>0</v>
      </c>
      <c r="G88" s="703">
        <f>X88-AL88</f>
        <v>0</v>
      </c>
      <c r="H88" s="703">
        <f>Y88-AO270</f>
        <v>0</v>
      </c>
      <c r="I88" s="703">
        <f>Z88-AP270</f>
        <v>0</v>
      </c>
      <c r="J88" s="704">
        <f t="shared" si="29"/>
        <v>0</v>
      </c>
      <c r="K88" s="705">
        <f>AB88-AR270</f>
        <v>0</v>
      </c>
      <c r="L88" s="706"/>
      <c r="M88" s="706"/>
      <c r="N88" s="706"/>
      <c r="O88" s="706"/>
      <c r="P88" s="706"/>
      <c r="Q88" s="706"/>
      <c r="R88" s="706"/>
      <c r="S88" s="706"/>
      <c r="T88" s="706"/>
      <c r="U88" s="837"/>
      <c r="V88" s="703"/>
      <c r="W88" s="703"/>
      <c r="X88" s="703">
        <v>11700</v>
      </c>
      <c r="Y88" s="703"/>
      <c r="Z88" s="703"/>
      <c r="AA88" s="704">
        <f t="shared" si="30"/>
        <v>11700</v>
      </c>
      <c r="AB88" s="705"/>
      <c r="AC88" s="706"/>
      <c r="AD88" s="706"/>
      <c r="AE88" s="706"/>
      <c r="AF88" s="706"/>
      <c r="AG88" s="706"/>
      <c r="AH88" s="706"/>
      <c r="AI88" s="706"/>
      <c r="AJ88" s="706"/>
      <c r="AK88" s="706"/>
      <c r="AL88" s="707">
        <v>11700</v>
      </c>
      <c r="AM88" s="708">
        <f t="shared" si="31"/>
        <v>0</v>
      </c>
      <c r="AN88" s="710" t="s">
        <v>260</v>
      </c>
    </row>
    <row r="89" spans="1:40" s="381" customFormat="1" ht="21.75" thickBot="1" x14ac:dyDescent="0.4">
      <c r="A89" s="698" t="s">
        <v>26</v>
      </c>
      <c r="B89" s="699">
        <v>3266</v>
      </c>
      <c r="C89" s="700" t="s">
        <v>200</v>
      </c>
      <c r="D89" s="701" t="s">
        <v>195</v>
      </c>
      <c r="E89" s="702"/>
      <c r="F89" s="801"/>
      <c r="G89" s="703"/>
      <c r="H89" s="703"/>
      <c r="I89" s="703"/>
      <c r="J89" s="704">
        <f t="shared" si="29"/>
        <v>0</v>
      </c>
      <c r="K89" s="705">
        <f>AB89-AL89</f>
        <v>0</v>
      </c>
      <c r="L89" s="706"/>
      <c r="M89" s="706"/>
      <c r="N89" s="706"/>
      <c r="O89" s="706"/>
      <c r="P89" s="706"/>
      <c r="Q89" s="706"/>
      <c r="R89" s="706"/>
      <c r="S89" s="706"/>
      <c r="T89" s="706"/>
      <c r="U89" s="837"/>
      <c r="V89" s="703"/>
      <c r="W89" s="703"/>
      <c r="X89" s="703"/>
      <c r="Y89" s="703"/>
      <c r="Z89" s="703"/>
      <c r="AA89" s="704">
        <f t="shared" si="30"/>
        <v>0</v>
      </c>
      <c r="AB89" s="705">
        <v>500000</v>
      </c>
      <c r="AC89" s="706"/>
      <c r="AD89" s="706"/>
      <c r="AE89" s="706"/>
      <c r="AF89" s="706"/>
      <c r="AG89" s="706"/>
      <c r="AH89" s="706"/>
      <c r="AI89" s="706"/>
      <c r="AJ89" s="706"/>
      <c r="AK89" s="706"/>
      <c r="AL89" s="707">
        <v>500000</v>
      </c>
      <c r="AM89" s="708">
        <f t="shared" ref="AM89:AM114" si="32">(V89+W89+X89+Y89+Z89+AB89+AC89+AD89+AE89+AF89+AG89+AH89+AI89+AJ89+AK89)-AL89</f>
        <v>0</v>
      </c>
      <c r="AN89" s="710" t="s">
        <v>268</v>
      </c>
    </row>
    <row r="90" spans="1:40" s="381" customFormat="1" ht="21.75" thickBot="1" x14ac:dyDescent="0.4">
      <c r="A90" s="850" t="s">
        <v>26</v>
      </c>
      <c r="B90" s="846">
        <v>3266</v>
      </c>
      <c r="C90" s="847" t="s">
        <v>200</v>
      </c>
      <c r="D90" s="848" t="s">
        <v>195</v>
      </c>
      <c r="E90" s="664"/>
      <c r="F90" s="798">
        <f>W90-AL90</f>
        <v>0</v>
      </c>
      <c r="G90" s="665"/>
      <c r="H90" s="665"/>
      <c r="I90" s="665"/>
      <c r="J90" s="666">
        <f t="shared" si="29"/>
        <v>0</v>
      </c>
      <c r="K90" s="667">
        <v>0</v>
      </c>
      <c r="L90" s="655"/>
      <c r="M90" s="655"/>
      <c r="N90" s="655"/>
      <c r="O90" s="655"/>
      <c r="P90" s="655"/>
      <c r="Q90" s="655"/>
      <c r="R90" s="655"/>
      <c r="S90" s="655"/>
      <c r="T90" s="655"/>
      <c r="U90" s="837"/>
      <c r="V90" s="665"/>
      <c r="W90" s="665">
        <v>25500</v>
      </c>
      <c r="X90" s="665"/>
      <c r="Y90" s="665"/>
      <c r="Z90" s="665"/>
      <c r="AA90" s="666">
        <f t="shared" si="30"/>
        <v>25500</v>
      </c>
      <c r="AB90" s="667"/>
      <c r="AC90" s="655"/>
      <c r="AD90" s="655"/>
      <c r="AE90" s="655"/>
      <c r="AF90" s="655"/>
      <c r="AG90" s="655"/>
      <c r="AH90" s="655"/>
      <c r="AI90" s="655"/>
      <c r="AJ90" s="655"/>
      <c r="AK90" s="655"/>
      <c r="AL90" s="674">
        <v>25500</v>
      </c>
      <c r="AM90" s="791">
        <f t="shared" si="32"/>
        <v>0</v>
      </c>
      <c r="AN90" s="854" t="s">
        <v>324</v>
      </c>
    </row>
    <row r="91" spans="1:40" s="381" customFormat="1" ht="21.75" thickBot="1" x14ac:dyDescent="0.4">
      <c r="A91" s="850" t="s">
        <v>26</v>
      </c>
      <c r="B91" s="846">
        <v>3266</v>
      </c>
      <c r="C91" s="847" t="s">
        <v>200</v>
      </c>
      <c r="D91" s="848" t="s">
        <v>195</v>
      </c>
      <c r="E91" s="664"/>
      <c r="F91" s="798"/>
      <c r="G91" s="665">
        <f>X91-AL91</f>
        <v>0</v>
      </c>
      <c r="H91" s="665"/>
      <c r="I91" s="665"/>
      <c r="J91" s="666">
        <f t="shared" si="29"/>
        <v>0</v>
      </c>
      <c r="K91" s="667">
        <v>0</v>
      </c>
      <c r="L91" s="655"/>
      <c r="M91" s="655"/>
      <c r="N91" s="655"/>
      <c r="O91" s="655"/>
      <c r="P91" s="655"/>
      <c r="Q91" s="655"/>
      <c r="R91" s="655"/>
      <c r="S91" s="655"/>
      <c r="T91" s="655"/>
      <c r="U91" s="837"/>
      <c r="V91" s="665"/>
      <c r="W91" s="665"/>
      <c r="X91" s="665">
        <v>24000</v>
      </c>
      <c r="Y91" s="665"/>
      <c r="Z91" s="665"/>
      <c r="AA91" s="666">
        <f t="shared" si="30"/>
        <v>24000</v>
      </c>
      <c r="AB91" s="667"/>
      <c r="AC91" s="655"/>
      <c r="AD91" s="655"/>
      <c r="AE91" s="655"/>
      <c r="AF91" s="655"/>
      <c r="AG91" s="655"/>
      <c r="AH91" s="655"/>
      <c r="AI91" s="655"/>
      <c r="AJ91" s="655"/>
      <c r="AK91" s="655"/>
      <c r="AL91" s="674">
        <v>24000</v>
      </c>
      <c r="AM91" s="791">
        <f t="shared" si="32"/>
        <v>0</v>
      </c>
      <c r="AN91" s="854" t="s">
        <v>325</v>
      </c>
    </row>
    <row r="92" spans="1:40" s="381" customFormat="1" ht="21.75" thickBot="1" x14ac:dyDescent="0.4">
      <c r="A92" s="850" t="s">
        <v>26</v>
      </c>
      <c r="B92" s="846">
        <v>3266</v>
      </c>
      <c r="C92" s="847" t="s">
        <v>200</v>
      </c>
      <c r="D92" s="848" t="s">
        <v>195</v>
      </c>
      <c r="E92" s="664"/>
      <c r="F92" s="798"/>
      <c r="G92" s="665"/>
      <c r="H92" s="665">
        <f>Y92-AL92</f>
        <v>0</v>
      </c>
      <c r="I92" s="665"/>
      <c r="J92" s="666">
        <f t="shared" si="29"/>
        <v>0</v>
      </c>
      <c r="K92" s="667">
        <v>0</v>
      </c>
      <c r="L92" s="655"/>
      <c r="M92" s="655"/>
      <c r="N92" s="655"/>
      <c r="O92" s="655"/>
      <c r="P92" s="655"/>
      <c r="Q92" s="655"/>
      <c r="R92" s="655"/>
      <c r="S92" s="655"/>
      <c r="T92" s="655"/>
      <c r="U92" s="837"/>
      <c r="V92" s="665"/>
      <c r="W92" s="665"/>
      <c r="X92" s="665"/>
      <c r="Y92" s="665">
        <v>15000</v>
      </c>
      <c r="Z92" s="665"/>
      <c r="AA92" s="666">
        <f t="shared" si="30"/>
        <v>15000</v>
      </c>
      <c r="AB92" s="667"/>
      <c r="AC92" s="655"/>
      <c r="AD92" s="655"/>
      <c r="AE92" s="655"/>
      <c r="AF92" s="655"/>
      <c r="AG92" s="655"/>
      <c r="AH92" s="655"/>
      <c r="AI92" s="655"/>
      <c r="AJ92" s="655"/>
      <c r="AK92" s="655"/>
      <c r="AL92" s="674">
        <v>15000</v>
      </c>
      <c r="AM92" s="791">
        <f t="shared" si="32"/>
        <v>0</v>
      </c>
      <c r="AN92" s="854" t="s">
        <v>326</v>
      </c>
    </row>
    <row r="93" spans="1:40" s="381" customFormat="1" ht="21.75" thickBot="1" x14ac:dyDescent="0.4">
      <c r="A93" s="850" t="s">
        <v>26</v>
      </c>
      <c r="B93" s="846">
        <v>3266</v>
      </c>
      <c r="C93" s="847" t="s">
        <v>200</v>
      </c>
      <c r="D93" s="848" t="s">
        <v>195</v>
      </c>
      <c r="E93" s="664"/>
      <c r="F93" s="798"/>
      <c r="G93" s="665"/>
      <c r="H93" s="665"/>
      <c r="I93" s="665">
        <f>Z93-AL93</f>
        <v>0</v>
      </c>
      <c r="J93" s="666">
        <f t="shared" si="29"/>
        <v>0</v>
      </c>
      <c r="K93" s="667">
        <v>0</v>
      </c>
      <c r="L93" s="655"/>
      <c r="M93" s="655"/>
      <c r="N93" s="655"/>
      <c r="O93" s="655"/>
      <c r="P93" s="655"/>
      <c r="Q93" s="655"/>
      <c r="R93" s="655"/>
      <c r="S93" s="655"/>
      <c r="T93" s="655"/>
      <c r="U93" s="837"/>
      <c r="V93" s="665"/>
      <c r="W93" s="665"/>
      <c r="X93" s="665"/>
      <c r="Y93" s="665"/>
      <c r="Z93" s="665">
        <v>13500</v>
      </c>
      <c r="AA93" s="666">
        <f t="shared" si="30"/>
        <v>13500</v>
      </c>
      <c r="AB93" s="667"/>
      <c r="AC93" s="655"/>
      <c r="AD93" s="655"/>
      <c r="AE93" s="655"/>
      <c r="AF93" s="655"/>
      <c r="AG93" s="655"/>
      <c r="AH93" s="655"/>
      <c r="AI93" s="655"/>
      <c r="AJ93" s="655"/>
      <c r="AK93" s="655"/>
      <c r="AL93" s="674">
        <v>13500</v>
      </c>
      <c r="AM93" s="791">
        <f t="shared" si="32"/>
        <v>0</v>
      </c>
      <c r="AN93" s="854" t="s">
        <v>327</v>
      </c>
    </row>
    <row r="94" spans="1:40" s="381" customFormat="1" ht="22.5" customHeight="1" thickBot="1" x14ac:dyDescent="0.4">
      <c r="A94" s="660" t="s">
        <v>26</v>
      </c>
      <c r="B94" s="661">
        <v>3273</v>
      </c>
      <c r="C94" s="662" t="s">
        <v>205</v>
      </c>
      <c r="D94" s="663" t="s">
        <v>206</v>
      </c>
      <c r="E94" s="664"/>
      <c r="F94" s="798"/>
      <c r="G94" s="665"/>
      <c r="H94" s="665"/>
      <c r="I94" s="665"/>
      <c r="J94" s="666"/>
      <c r="K94" s="667">
        <f t="shared" ref="K94:K99" si="33">AB94-AL94</f>
        <v>0</v>
      </c>
      <c r="L94" s="654"/>
      <c r="M94" s="654"/>
      <c r="N94" s="654"/>
      <c r="O94" s="654"/>
      <c r="P94" s="654"/>
      <c r="Q94" s="654"/>
      <c r="R94" s="654"/>
      <c r="S94" s="654"/>
      <c r="T94" s="654"/>
      <c r="U94" s="837"/>
      <c r="V94" s="665"/>
      <c r="W94" s="665"/>
      <c r="X94" s="665"/>
      <c r="Y94" s="665"/>
      <c r="Z94" s="665"/>
      <c r="AA94" s="666">
        <f t="shared" si="30"/>
        <v>0</v>
      </c>
      <c r="AB94" s="667">
        <v>175000</v>
      </c>
      <c r="AC94" s="654"/>
      <c r="AD94" s="654"/>
      <c r="AE94" s="654"/>
      <c r="AF94" s="654"/>
      <c r="AG94" s="654"/>
      <c r="AH94" s="654"/>
      <c r="AI94" s="654"/>
      <c r="AJ94" s="654"/>
      <c r="AK94" s="654"/>
      <c r="AL94" s="674">
        <v>175000</v>
      </c>
      <c r="AM94" s="670">
        <f t="shared" si="32"/>
        <v>0</v>
      </c>
      <c r="AN94" s="709" t="s">
        <v>238</v>
      </c>
    </row>
    <row r="95" spans="1:40" s="381" customFormat="1" ht="15.75" customHeight="1" thickBot="1" x14ac:dyDescent="0.4">
      <c r="A95" s="660" t="s">
        <v>26</v>
      </c>
      <c r="B95" s="661">
        <v>3276</v>
      </c>
      <c r="C95" s="662" t="s">
        <v>205</v>
      </c>
      <c r="D95" s="663" t="s">
        <v>203</v>
      </c>
      <c r="E95" s="664"/>
      <c r="F95" s="798"/>
      <c r="G95" s="665"/>
      <c r="H95" s="665"/>
      <c r="I95" s="665"/>
      <c r="J95" s="666"/>
      <c r="K95" s="667">
        <f t="shared" si="33"/>
        <v>0</v>
      </c>
      <c r="L95" s="654"/>
      <c r="M95" s="654"/>
      <c r="N95" s="654"/>
      <c r="O95" s="654"/>
      <c r="P95" s="654"/>
      <c r="Q95" s="654"/>
      <c r="R95" s="654"/>
      <c r="S95" s="654"/>
      <c r="T95" s="654"/>
      <c r="U95" s="837"/>
      <c r="V95" s="665"/>
      <c r="W95" s="665"/>
      <c r="X95" s="665"/>
      <c r="Y95" s="665"/>
      <c r="Z95" s="665"/>
      <c r="AA95" s="666">
        <f t="shared" si="30"/>
        <v>0</v>
      </c>
      <c r="AB95" s="667">
        <v>200000</v>
      </c>
      <c r="AC95" s="654"/>
      <c r="AD95" s="654"/>
      <c r="AE95" s="654"/>
      <c r="AF95" s="654"/>
      <c r="AG95" s="654"/>
      <c r="AH95" s="654"/>
      <c r="AI95" s="654"/>
      <c r="AJ95" s="654"/>
      <c r="AK95" s="654"/>
      <c r="AL95" s="674">
        <v>200000</v>
      </c>
      <c r="AM95" s="670">
        <f t="shared" si="32"/>
        <v>0</v>
      </c>
      <c r="AN95" s="709" t="s">
        <v>225</v>
      </c>
    </row>
    <row r="96" spans="1:40" s="381" customFormat="1" ht="21.75" thickBot="1" x14ac:dyDescent="0.4">
      <c r="A96" s="660" t="s">
        <v>26</v>
      </c>
      <c r="B96" s="661">
        <v>3278</v>
      </c>
      <c r="C96" s="662" t="s">
        <v>204</v>
      </c>
      <c r="D96" s="663" t="s">
        <v>203</v>
      </c>
      <c r="E96" s="664">
        <f>V96-AL96</f>
        <v>0</v>
      </c>
      <c r="F96" s="798"/>
      <c r="G96" s="665"/>
      <c r="H96" s="665"/>
      <c r="I96" s="665"/>
      <c r="J96" s="666"/>
      <c r="K96" s="667">
        <v>0</v>
      </c>
      <c r="L96" s="654"/>
      <c r="M96" s="654"/>
      <c r="N96" s="654"/>
      <c r="O96" s="654"/>
      <c r="P96" s="654"/>
      <c r="Q96" s="654"/>
      <c r="R96" s="654"/>
      <c r="S96" s="654"/>
      <c r="T96" s="654"/>
      <c r="U96" s="837"/>
      <c r="V96" s="665">
        <v>212500</v>
      </c>
      <c r="W96" s="665"/>
      <c r="X96" s="665"/>
      <c r="Y96" s="665"/>
      <c r="Z96" s="665"/>
      <c r="AA96" s="666">
        <f t="shared" si="30"/>
        <v>0</v>
      </c>
      <c r="AB96" s="667"/>
      <c r="AC96" s="654"/>
      <c r="AD96" s="654"/>
      <c r="AE96" s="654"/>
      <c r="AF96" s="654"/>
      <c r="AG96" s="654"/>
      <c r="AH96" s="654"/>
      <c r="AI96" s="654"/>
      <c r="AJ96" s="654"/>
      <c r="AK96" s="654"/>
      <c r="AL96" s="674">
        <v>212500</v>
      </c>
      <c r="AM96" s="670">
        <f t="shared" si="32"/>
        <v>0</v>
      </c>
      <c r="AN96" s="709" t="s">
        <v>240</v>
      </c>
    </row>
    <row r="97" spans="1:40" s="381" customFormat="1" ht="21.75" thickBot="1" x14ac:dyDescent="0.4">
      <c r="A97" s="660" t="s">
        <v>26</v>
      </c>
      <c r="B97" s="661">
        <v>3278</v>
      </c>
      <c r="C97" s="662" t="s">
        <v>204</v>
      </c>
      <c r="D97" s="663" t="s">
        <v>203</v>
      </c>
      <c r="E97" s="664"/>
      <c r="F97" s="798"/>
      <c r="G97" s="665"/>
      <c r="H97" s="665"/>
      <c r="I97" s="665"/>
      <c r="J97" s="666"/>
      <c r="K97" s="667">
        <f t="shared" si="33"/>
        <v>0</v>
      </c>
      <c r="L97" s="654"/>
      <c r="M97" s="654"/>
      <c r="N97" s="654"/>
      <c r="O97" s="654"/>
      <c r="P97" s="654"/>
      <c r="Q97" s="654"/>
      <c r="R97" s="654"/>
      <c r="S97" s="654"/>
      <c r="T97" s="654"/>
      <c r="U97" s="837"/>
      <c r="V97" s="665"/>
      <c r="W97" s="665"/>
      <c r="X97" s="665"/>
      <c r="Y97" s="665"/>
      <c r="Z97" s="665"/>
      <c r="AA97" s="666">
        <f t="shared" si="30"/>
        <v>0</v>
      </c>
      <c r="AB97" s="667">
        <v>435800</v>
      </c>
      <c r="AC97" s="654"/>
      <c r="AD97" s="654"/>
      <c r="AE97" s="654"/>
      <c r="AF97" s="654"/>
      <c r="AG97" s="654"/>
      <c r="AH97" s="654"/>
      <c r="AI97" s="654"/>
      <c r="AJ97" s="654"/>
      <c r="AK97" s="668"/>
      <c r="AL97" s="669">
        <v>435800</v>
      </c>
      <c r="AM97" s="670">
        <f t="shared" si="32"/>
        <v>0</v>
      </c>
      <c r="AN97" s="709" t="s">
        <v>226</v>
      </c>
    </row>
    <row r="98" spans="1:40" s="381" customFormat="1" ht="21.75" thickBot="1" x14ac:dyDescent="0.4">
      <c r="A98" s="675" t="s">
        <v>26</v>
      </c>
      <c r="B98" s="661">
        <v>3279</v>
      </c>
      <c r="C98" s="684" t="s">
        <v>208</v>
      </c>
      <c r="D98" s="685" t="s">
        <v>203</v>
      </c>
      <c r="E98" s="665"/>
      <c r="F98" s="798"/>
      <c r="G98" s="665"/>
      <c r="H98" s="665"/>
      <c r="I98" s="665"/>
      <c r="J98" s="666"/>
      <c r="K98" s="667">
        <v>0</v>
      </c>
      <c r="L98" s="654">
        <f>AC98-AL98</f>
        <v>0</v>
      </c>
      <c r="M98" s="654"/>
      <c r="N98" s="654"/>
      <c r="O98" s="654"/>
      <c r="P98" s="655"/>
      <c r="Q98" s="655"/>
      <c r="R98" s="655"/>
      <c r="S98" s="655"/>
      <c r="T98" s="655"/>
      <c r="U98" s="837"/>
      <c r="V98" s="665"/>
      <c r="W98" s="665"/>
      <c r="X98" s="665"/>
      <c r="Y98" s="665"/>
      <c r="Z98" s="686"/>
      <c r="AA98" s="666">
        <f t="shared" si="30"/>
        <v>0</v>
      </c>
      <c r="AB98" s="667"/>
      <c r="AC98" s="655">
        <v>300000</v>
      </c>
      <c r="AD98" s="655"/>
      <c r="AE98" s="655"/>
      <c r="AF98" s="655"/>
      <c r="AG98" s="655"/>
      <c r="AH98" s="655"/>
      <c r="AI98" s="655"/>
      <c r="AJ98" s="655"/>
      <c r="AK98" s="668"/>
      <c r="AL98" s="669">
        <v>300000</v>
      </c>
      <c r="AM98" s="670">
        <f t="shared" si="32"/>
        <v>0</v>
      </c>
      <c r="AN98" s="677" t="s">
        <v>239</v>
      </c>
    </row>
    <row r="99" spans="1:40" s="381" customFormat="1" ht="21.75" thickBot="1" x14ac:dyDescent="0.4">
      <c r="A99" s="850" t="s">
        <v>26</v>
      </c>
      <c r="B99" s="846">
        <v>3305</v>
      </c>
      <c r="C99" s="684">
        <v>45322</v>
      </c>
      <c r="D99" s="685">
        <v>45412</v>
      </c>
      <c r="E99" s="665"/>
      <c r="F99" s="798"/>
      <c r="G99" s="665"/>
      <c r="H99" s="665"/>
      <c r="I99" s="665"/>
      <c r="J99" s="666">
        <f>SUM(F99:I99)</f>
        <v>0</v>
      </c>
      <c r="K99" s="667">
        <f t="shared" si="33"/>
        <v>0</v>
      </c>
      <c r="L99" s="654"/>
      <c r="M99" s="654"/>
      <c r="N99" s="654"/>
      <c r="O99" s="654"/>
      <c r="P99" s="655"/>
      <c r="Q99" s="655"/>
      <c r="R99" s="655"/>
      <c r="S99" s="655"/>
      <c r="T99" s="655"/>
      <c r="U99" s="837"/>
      <c r="V99" s="665"/>
      <c r="W99" s="665"/>
      <c r="X99" s="665"/>
      <c r="Y99" s="665"/>
      <c r="Z99" s="686"/>
      <c r="AA99" s="666">
        <f t="shared" si="30"/>
        <v>0</v>
      </c>
      <c r="AB99" s="667">
        <v>500000</v>
      </c>
      <c r="AC99" s="655"/>
      <c r="AD99" s="655"/>
      <c r="AE99" s="655"/>
      <c r="AF99" s="655"/>
      <c r="AG99" s="655"/>
      <c r="AH99" s="655"/>
      <c r="AI99" s="655"/>
      <c r="AJ99" s="655"/>
      <c r="AK99" s="668"/>
      <c r="AL99" s="669">
        <v>500000</v>
      </c>
      <c r="AM99" s="670">
        <f t="shared" si="32"/>
        <v>0</v>
      </c>
      <c r="AN99" s="852" t="s">
        <v>351</v>
      </c>
    </row>
    <row r="100" spans="1:40" s="381" customFormat="1" ht="21.75" thickBot="1" x14ac:dyDescent="0.4">
      <c r="A100" s="850" t="s">
        <v>26</v>
      </c>
      <c r="B100" s="846">
        <v>3325</v>
      </c>
      <c r="C100" s="903" t="s">
        <v>275</v>
      </c>
      <c r="D100" s="863" t="s">
        <v>276</v>
      </c>
      <c r="E100" s="665"/>
      <c r="F100" s="798">
        <f>W100-AL100</f>
        <v>0</v>
      </c>
      <c r="G100" s="665"/>
      <c r="H100" s="665"/>
      <c r="I100" s="665"/>
      <c r="J100" s="666">
        <f t="shared" ref="J100:J129" si="34">SUM(F100:I100)</f>
        <v>0</v>
      </c>
      <c r="K100" s="667"/>
      <c r="L100" s="655"/>
      <c r="M100" s="655"/>
      <c r="N100" s="655"/>
      <c r="O100" s="655"/>
      <c r="P100" s="655"/>
      <c r="Q100" s="655"/>
      <c r="R100" s="655"/>
      <c r="S100" s="655"/>
      <c r="T100" s="655"/>
      <c r="U100" s="837"/>
      <c r="V100" s="665"/>
      <c r="W100" s="665">
        <v>7500</v>
      </c>
      <c r="X100" s="665"/>
      <c r="Y100" s="665"/>
      <c r="Z100" s="686"/>
      <c r="AA100" s="666">
        <f t="shared" si="30"/>
        <v>7500</v>
      </c>
      <c r="AB100" s="667"/>
      <c r="AC100" s="655"/>
      <c r="AD100" s="655"/>
      <c r="AE100" s="655"/>
      <c r="AF100" s="655"/>
      <c r="AG100" s="655"/>
      <c r="AH100" s="655"/>
      <c r="AI100" s="655"/>
      <c r="AJ100" s="655"/>
      <c r="AK100" s="687"/>
      <c r="AL100" s="669">
        <f>4320+2880+300</f>
        <v>7500</v>
      </c>
      <c r="AM100" s="791">
        <f t="shared" si="32"/>
        <v>0</v>
      </c>
      <c r="AN100" s="852" t="s">
        <v>476</v>
      </c>
    </row>
    <row r="101" spans="1:40" s="381" customFormat="1" ht="21.75" thickBot="1" x14ac:dyDescent="0.4">
      <c r="A101" s="850" t="s">
        <v>26</v>
      </c>
      <c r="B101" s="846">
        <v>3325</v>
      </c>
      <c r="C101" s="684" t="s">
        <v>275</v>
      </c>
      <c r="D101" s="685" t="s">
        <v>276</v>
      </c>
      <c r="E101" s="665"/>
      <c r="F101" s="798"/>
      <c r="G101" s="665">
        <f>X101-AL101</f>
        <v>0</v>
      </c>
      <c r="H101" s="665"/>
      <c r="I101" s="665"/>
      <c r="J101" s="666">
        <f t="shared" si="34"/>
        <v>0</v>
      </c>
      <c r="K101" s="667"/>
      <c r="L101" s="654"/>
      <c r="M101" s="654"/>
      <c r="N101" s="654"/>
      <c r="O101" s="654"/>
      <c r="P101" s="655"/>
      <c r="Q101" s="655"/>
      <c r="R101" s="655"/>
      <c r="S101" s="655"/>
      <c r="T101" s="655"/>
      <c r="U101" s="837"/>
      <c r="V101" s="665"/>
      <c r="W101" s="665"/>
      <c r="X101" s="665">
        <v>8550</v>
      </c>
      <c r="Y101" s="665"/>
      <c r="Z101" s="686"/>
      <c r="AA101" s="666">
        <f t="shared" si="30"/>
        <v>8550</v>
      </c>
      <c r="AB101" s="667"/>
      <c r="AC101" s="655"/>
      <c r="AD101" s="655"/>
      <c r="AE101" s="655"/>
      <c r="AF101" s="655"/>
      <c r="AG101" s="655"/>
      <c r="AH101" s="655"/>
      <c r="AI101" s="655"/>
      <c r="AJ101" s="655"/>
      <c r="AK101" s="668"/>
      <c r="AL101" s="669">
        <f>5670+2880</f>
        <v>8550</v>
      </c>
      <c r="AM101" s="670">
        <f t="shared" si="32"/>
        <v>0</v>
      </c>
      <c r="AN101" s="852" t="s">
        <v>380</v>
      </c>
    </row>
    <row r="102" spans="1:40" s="381" customFormat="1" ht="21.75" thickBot="1" x14ac:dyDescent="0.4">
      <c r="A102" s="850" t="s">
        <v>26</v>
      </c>
      <c r="B102" s="846">
        <v>3325</v>
      </c>
      <c r="C102" s="684" t="s">
        <v>275</v>
      </c>
      <c r="D102" s="685" t="s">
        <v>276</v>
      </c>
      <c r="E102" s="665"/>
      <c r="F102" s="798"/>
      <c r="G102" s="665"/>
      <c r="H102" s="665">
        <f>Y102-AL102</f>
        <v>0</v>
      </c>
      <c r="I102" s="665"/>
      <c r="J102" s="666">
        <f t="shared" si="34"/>
        <v>0</v>
      </c>
      <c r="K102" s="667"/>
      <c r="L102" s="654"/>
      <c r="M102" s="654"/>
      <c r="N102" s="654"/>
      <c r="O102" s="654"/>
      <c r="P102" s="655"/>
      <c r="Q102" s="655"/>
      <c r="R102" s="655"/>
      <c r="S102" s="655"/>
      <c r="T102" s="655"/>
      <c r="U102" s="837"/>
      <c r="V102" s="665"/>
      <c r="W102" s="665"/>
      <c r="X102" s="665"/>
      <c r="Y102" s="665">
        <v>10050</v>
      </c>
      <c r="Z102" s="686"/>
      <c r="AA102" s="666">
        <f t="shared" si="30"/>
        <v>10050</v>
      </c>
      <c r="AB102" s="667"/>
      <c r="AC102" s="655"/>
      <c r="AD102" s="655"/>
      <c r="AE102" s="655"/>
      <c r="AF102" s="655"/>
      <c r="AG102" s="655"/>
      <c r="AH102" s="655"/>
      <c r="AI102" s="655"/>
      <c r="AJ102" s="655"/>
      <c r="AK102" s="668"/>
      <c r="AL102" s="669">
        <v>10050</v>
      </c>
      <c r="AM102" s="670">
        <f t="shared" si="32"/>
        <v>0</v>
      </c>
      <c r="AN102" s="852" t="s">
        <v>379</v>
      </c>
    </row>
    <row r="103" spans="1:40" s="381" customFormat="1" ht="21.75" thickBot="1" x14ac:dyDescent="0.4">
      <c r="A103" s="850" t="s">
        <v>26</v>
      </c>
      <c r="B103" s="846">
        <v>3325</v>
      </c>
      <c r="C103" s="684" t="s">
        <v>275</v>
      </c>
      <c r="D103" s="685" t="s">
        <v>276</v>
      </c>
      <c r="E103" s="665"/>
      <c r="F103" s="798"/>
      <c r="G103" s="665"/>
      <c r="H103" s="665"/>
      <c r="I103" s="665">
        <f>Z103-AL103</f>
        <v>0</v>
      </c>
      <c r="J103" s="666">
        <f t="shared" si="34"/>
        <v>0</v>
      </c>
      <c r="K103" s="667"/>
      <c r="L103" s="654"/>
      <c r="M103" s="654"/>
      <c r="N103" s="654"/>
      <c r="O103" s="654"/>
      <c r="P103" s="655"/>
      <c r="Q103" s="655"/>
      <c r="R103" s="655"/>
      <c r="S103" s="655"/>
      <c r="T103" s="655"/>
      <c r="U103" s="837"/>
      <c r="V103" s="665"/>
      <c r="W103" s="665"/>
      <c r="X103" s="665"/>
      <c r="Y103" s="665"/>
      <c r="Z103" s="686">
        <v>10950</v>
      </c>
      <c r="AA103" s="666">
        <f t="shared" si="30"/>
        <v>10950</v>
      </c>
      <c r="AB103" s="667"/>
      <c r="AC103" s="655"/>
      <c r="AD103" s="655"/>
      <c r="AE103" s="655"/>
      <c r="AF103" s="655"/>
      <c r="AG103" s="655"/>
      <c r="AH103" s="655"/>
      <c r="AI103" s="655"/>
      <c r="AJ103" s="655"/>
      <c r="AK103" s="668"/>
      <c r="AL103" s="669">
        <f>7650+3300</f>
        <v>10950</v>
      </c>
      <c r="AM103" s="670">
        <f t="shared" si="32"/>
        <v>0</v>
      </c>
      <c r="AN103" s="852" t="s">
        <v>378</v>
      </c>
    </row>
    <row r="104" spans="1:40" s="883" customFormat="1" ht="21.75" thickBot="1" x14ac:dyDescent="0.4">
      <c r="A104" s="850" t="s">
        <v>26</v>
      </c>
      <c r="B104" s="846">
        <v>3345</v>
      </c>
      <c r="C104" s="903" t="s">
        <v>321</v>
      </c>
      <c r="D104" s="863" t="s">
        <v>323</v>
      </c>
      <c r="E104" s="665"/>
      <c r="F104" s="798" t="s">
        <v>159</v>
      </c>
      <c r="G104" s="665"/>
      <c r="H104" s="665"/>
      <c r="I104" s="665"/>
      <c r="J104" s="666">
        <f t="shared" si="34"/>
        <v>0</v>
      </c>
      <c r="K104" s="667"/>
      <c r="L104" s="655"/>
      <c r="M104" s="655"/>
      <c r="N104" s="655"/>
      <c r="O104" s="655"/>
      <c r="P104" s="655"/>
      <c r="Q104" s="655"/>
      <c r="R104" s="655"/>
      <c r="S104" s="655"/>
      <c r="T104" s="655"/>
      <c r="U104" s="837"/>
      <c r="V104" s="665"/>
      <c r="W104" s="665">
        <v>6000</v>
      </c>
      <c r="X104" s="665"/>
      <c r="Y104" s="665"/>
      <c r="Z104" s="686"/>
      <c r="AA104" s="666">
        <f t="shared" si="30"/>
        <v>6000</v>
      </c>
      <c r="AB104" s="667"/>
      <c r="AC104" s="655"/>
      <c r="AD104" s="655"/>
      <c r="AE104" s="655"/>
      <c r="AF104" s="655"/>
      <c r="AG104" s="655"/>
      <c r="AH104" s="655"/>
      <c r="AI104" s="655"/>
      <c r="AJ104" s="655"/>
      <c r="AK104" s="790"/>
      <c r="AL104" s="669">
        <v>6000</v>
      </c>
      <c r="AM104" s="791">
        <f t="shared" si="32"/>
        <v>0</v>
      </c>
      <c r="AN104" s="852" t="s">
        <v>502</v>
      </c>
    </row>
    <row r="105" spans="1:40" s="883" customFormat="1" ht="21.75" thickBot="1" x14ac:dyDescent="0.4">
      <c r="A105" s="850" t="s">
        <v>26</v>
      </c>
      <c r="B105" s="846">
        <v>3345</v>
      </c>
      <c r="C105" s="903" t="s">
        <v>321</v>
      </c>
      <c r="D105" s="863" t="s">
        <v>323</v>
      </c>
      <c r="E105" s="665"/>
      <c r="F105" s="798"/>
      <c r="G105" s="665">
        <f>X105-AL105</f>
        <v>0</v>
      </c>
      <c r="H105" s="665"/>
      <c r="I105" s="665"/>
      <c r="J105" s="666">
        <f t="shared" si="34"/>
        <v>0</v>
      </c>
      <c r="K105" s="667"/>
      <c r="L105" s="655"/>
      <c r="M105" s="655"/>
      <c r="N105" s="655"/>
      <c r="O105" s="655"/>
      <c r="P105" s="655"/>
      <c r="Q105" s="655"/>
      <c r="R105" s="655"/>
      <c r="S105" s="655"/>
      <c r="T105" s="655"/>
      <c r="U105" s="837"/>
      <c r="V105" s="665"/>
      <c r="W105" s="665"/>
      <c r="X105" s="665">
        <v>10500</v>
      </c>
      <c r="Y105" s="665"/>
      <c r="Z105" s="686"/>
      <c r="AA105" s="666">
        <f t="shared" si="30"/>
        <v>10500</v>
      </c>
      <c r="AB105" s="667"/>
      <c r="AC105" s="655"/>
      <c r="AD105" s="655"/>
      <c r="AE105" s="655"/>
      <c r="AF105" s="655"/>
      <c r="AG105" s="655"/>
      <c r="AH105" s="655"/>
      <c r="AI105" s="655"/>
      <c r="AJ105" s="655"/>
      <c r="AK105" s="790"/>
      <c r="AL105" s="669">
        <v>10500</v>
      </c>
      <c r="AM105" s="791">
        <f t="shared" si="32"/>
        <v>0</v>
      </c>
      <c r="AN105" s="852" t="s">
        <v>502</v>
      </c>
    </row>
    <row r="106" spans="1:40" s="381" customFormat="1" ht="21.75" thickBot="1" x14ac:dyDescent="0.4">
      <c r="A106" s="850" t="s">
        <v>26</v>
      </c>
      <c r="B106" s="846">
        <v>3345</v>
      </c>
      <c r="C106" s="903" t="s">
        <v>321</v>
      </c>
      <c r="D106" s="863" t="s">
        <v>323</v>
      </c>
      <c r="E106" s="665"/>
      <c r="F106" s="798"/>
      <c r="G106" s="665"/>
      <c r="H106" s="665" t="s">
        <v>159</v>
      </c>
      <c r="I106" s="665"/>
      <c r="J106" s="666">
        <f t="shared" si="34"/>
        <v>0</v>
      </c>
      <c r="K106" s="667"/>
      <c r="L106" s="655"/>
      <c r="M106" s="655"/>
      <c r="N106" s="655"/>
      <c r="O106" s="655"/>
      <c r="P106" s="655"/>
      <c r="Q106" s="655"/>
      <c r="R106" s="655"/>
      <c r="S106" s="655"/>
      <c r="T106" s="655"/>
      <c r="U106" s="837"/>
      <c r="V106" s="665"/>
      <c r="W106" s="665"/>
      <c r="X106" s="665"/>
      <c r="Y106" s="665">
        <v>7500</v>
      </c>
      <c r="Z106" s="686"/>
      <c r="AA106" s="666">
        <f t="shared" si="30"/>
        <v>7500</v>
      </c>
      <c r="AB106" s="667"/>
      <c r="AC106" s="655"/>
      <c r="AD106" s="655"/>
      <c r="AE106" s="655"/>
      <c r="AF106" s="655"/>
      <c r="AG106" s="655"/>
      <c r="AH106" s="655"/>
      <c r="AI106" s="655"/>
      <c r="AJ106" s="655"/>
      <c r="AK106" s="790"/>
      <c r="AL106" s="669">
        <v>7500</v>
      </c>
      <c r="AM106" s="791">
        <f t="shared" si="32"/>
        <v>0</v>
      </c>
      <c r="AN106" s="852" t="s">
        <v>502</v>
      </c>
    </row>
    <row r="107" spans="1:40" s="381" customFormat="1" ht="21.75" thickBot="1" x14ac:dyDescent="0.4">
      <c r="A107" s="850" t="s">
        <v>26</v>
      </c>
      <c r="B107" s="846">
        <v>3345</v>
      </c>
      <c r="C107" s="903" t="s">
        <v>321</v>
      </c>
      <c r="D107" s="863" t="s">
        <v>323</v>
      </c>
      <c r="E107" s="665"/>
      <c r="F107" s="798"/>
      <c r="G107" s="665"/>
      <c r="H107" s="665"/>
      <c r="I107" s="665">
        <f>Z107-AL107</f>
        <v>0</v>
      </c>
      <c r="J107" s="666">
        <f t="shared" si="34"/>
        <v>0</v>
      </c>
      <c r="K107" s="667"/>
      <c r="L107" s="655"/>
      <c r="M107" s="655"/>
      <c r="N107" s="655"/>
      <c r="O107" s="655"/>
      <c r="P107" s="655"/>
      <c r="Q107" s="655"/>
      <c r="R107" s="655"/>
      <c r="S107" s="655"/>
      <c r="T107" s="655"/>
      <c r="U107" s="837"/>
      <c r="V107" s="665"/>
      <c r="W107" s="665"/>
      <c r="X107" s="665"/>
      <c r="Y107" s="665"/>
      <c r="Z107" s="686">
        <v>9300</v>
      </c>
      <c r="AA107" s="666">
        <f t="shared" si="30"/>
        <v>9300</v>
      </c>
      <c r="AB107" s="667"/>
      <c r="AC107" s="655"/>
      <c r="AD107" s="655"/>
      <c r="AE107" s="655"/>
      <c r="AF107" s="655"/>
      <c r="AG107" s="655"/>
      <c r="AH107" s="655"/>
      <c r="AI107" s="655"/>
      <c r="AJ107" s="655"/>
      <c r="AK107" s="790"/>
      <c r="AL107" s="669">
        <v>9300</v>
      </c>
      <c r="AM107" s="791">
        <f t="shared" si="32"/>
        <v>0</v>
      </c>
      <c r="AN107" s="852" t="s">
        <v>502</v>
      </c>
    </row>
    <row r="108" spans="1:40" s="381" customFormat="1" ht="21.75" thickBot="1" x14ac:dyDescent="0.4">
      <c r="A108" s="845" t="s">
        <v>26</v>
      </c>
      <c r="B108" s="693">
        <v>3346</v>
      </c>
      <c r="C108" s="957" t="s">
        <v>321</v>
      </c>
      <c r="D108" s="958" t="s">
        <v>323</v>
      </c>
      <c r="E108" s="959"/>
      <c r="F108" s="960"/>
      <c r="G108" s="960"/>
      <c r="H108" s="960"/>
      <c r="I108" s="960"/>
      <c r="J108" s="666">
        <f t="shared" si="34"/>
        <v>0</v>
      </c>
      <c r="K108" s="961"/>
      <c r="L108" s="962"/>
      <c r="M108" s="962">
        <f>AD108-AL108</f>
        <v>0</v>
      </c>
      <c r="N108" s="962"/>
      <c r="O108" s="962"/>
      <c r="P108" s="962"/>
      <c r="Q108" s="962"/>
      <c r="R108" s="962"/>
      <c r="S108" s="962"/>
      <c r="T108" s="962"/>
      <c r="U108" s="837"/>
      <c r="V108" s="959"/>
      <c r="W108" s="959"/>
      <c r="X108" s="959"/>
      <c r="Y108" s="959"/>
      <c r="Z108" s="963"/>
      <c r="AA108" s="666">
        <f t="shared" si="30"/>
        <v>0</v>
      </c>
      <c r="AB108" s="961"/>
      <c r="AC108" s="962"/>
      <c r="AD108" s="962">
        <v>20000</v>
      </c>
      <c r="AE108" s="962"/>
      <c r="AF108" s="962"/>
      <c r="AG108" s="962"/>
      <c r="AH108" s="962"/>
      <c r="AI108" s="962"/>
      <c r="AJ108" s="962"/>
      <c r="AK108" s="964"/>
      <c r="AL108" s="965">
        <v>20000</v>
      </c>
      <c r="AM108" s="966">
        <f t="shared" si="32"/>
        <v>0</v>
      </c>
      <c r="AN108" s="967" t="s">
        <v>381</v>
      </c>
    </row>
    <row r="109" spans="1:40" s="381" customFormat="1" ht="21.75" thickBot="1" x14ac:dyDescent="0.4">
      <c r="A109" s="845" t="s">
        <v>26</v>
      </c>
      <c r="B109" s="693">
        <v>3346</v>
      </c>
      <c r="C109" s="957" t="s">
        <v>321</v>
      </c>
      <c r="D109" s="958" t="s">
        <v>323</v>
      </c>
      <c r="E109" s="959"/>
      <c r="F109" s="968"/>
      <c r="G109" s="959"/>
      <c r="H109" s="959"/>
      <c r="I109" s="959"/>
      <c r="J109" s="666">
        <f t="shared" si="34"/>
        <v>0</v>
      </c>
      <c r="K109" s="961"/>
      <c r="L109" s="962"/>
      <c r="M109" s="962"/>
      <c r="N109" s="962">
        <f>AE109-AL109</f>
        <v>0</v>
      </c>
      <c r="O109" s="962"/>
      <c r="P109" s="962"/>
      <c r="Q109" s="962"/>
      <c r="R109" s="962"/>
      <c r="S109" s="962"/>
      <c r="T109" s="962"/>
      <c r="U109" s="837"/>
      <c r="V109" s="959"/>
      <c r="W109" s="959"/>
      <c r="X109" s="959"/>
      <c r="Y109" s="959"/>
      <c r="Z109" s="963"/>
      <c r="AA109" s="666">
        <f t="shared" si="30"/>
        <v>0</v>
      </c>
      <c r="AB109" s="961"/>
      <c r="AC109" s="962"/>
      <c r="AD109" s="962"/>
      <c r="AE109" s="962">
        <v>20000</v>
      </c>
      <c r="AF109" s="962"/>
      <c r="AG109" s="962"/>
      <c r="AH109" s="962"/>
      <c r="AI109" s="962"/>
      <c r="AJ109" s="962"/>
      <c r="AK109" s="964"/>
      <c r="AL109" s="965">
        <v>20000</v>
      </c>
      <c r="AM109" s="966">
        <f t="shared" si="32"/>
        <v>0</v>
      </c>
      <c r="AN109" s="967" t="s">
        <v>381</v>
      </c>
    </row>
    <row r="110" spans="1:40" s="381" customFormat="1" ht="21.75" thickBot="1" x14ac:dyDescent="0.4">
      <c r="A110" s="850" t="s">
        <v>26</v>
      </c>
      <c r="B110" s="846">
        <v>3347</v>
      </c>
      <c r="C110" s="903" t="s">
        <v>321</v>
      </c>
      <c r="D110" s="863" t="s">
        <v>322</v>
      </c>
      <c r="E110" s="798">
        <f>V110-AL110</f>
        <v>0</v>
      </c>
      <c r="F110" s="798"/>
      <c r="G110" s="665"/>
      <c r="H110" s="665"/>
      <c r="I110" s="665"/>
      <c r="J110" s="666">
        <f t="shared" si="34"/>
        <v>0</v>
      </c>
      <c r="K110" s="667"/>
      <c r="L110" s="655"/>
      <c r="M110" s="655"/>
      <c r="N110" s="655"/>
      <c r="O110" s="655"/>
      <c r="P110" s="655"/>
      <c r="Q110" s="655"/>
      <c r="R110" s="655"/>
      <c r="S110" s="655"/>
      <c r="T110" s="655"/>
      <c r="U110" s="837"/>
      <c r="V110" s="665">
        <v>125000</v>
      </c>
      <c r="W110" s="665"/>
      <c r="X110" s="665"/>
      <c r="Y110" s="665"/>
      <c r="Z110" s="686"/>
      <c r="AA110" s="666">
        <f t="shared" si="30"/>
        <v>0</v>
      </c>
      <c r="AB110" s="667"/>
      <c r="AC110" s="655"/>
      <c r="AD110" s="655"/>
      <c r="AE110" s="655"/>
      <c r="AF110" s="655"/>
      <c r="AG110" s="655"/>
      <c r="AH110" s="655"/>
      <c r="AI110" s="655"/>
      <c r="AJ110" s="655"/>
      <c r="AK110" s="790"/>
      <c r="AL110" s="669">
        <v>125000</v>
      </c>
      <c r="AM110" s="791">
        <f t="shared" si="32"/>
        <v>0</v>
      </c>
      <c r="AN110" s="852" t="s">
        <v>456</v>
      </c>
    </row>
    <row r="111" spans="1:40" s="883" customFormat="1" ht="21.75" thickBot="1" x14ac:dyDescent="0.4">
      <c r="A111" s="850" t="s">
        <v>26</v>
      </c>
      <c r="B111" s="846">
        <v>3352</v>
      </c>
      <c r="C111" s="903" t="s">
        <v>349</v>
      </c>
      <c r="D111" s="863" t="s">
        <v>350</v>
      </c>
      <c r="E111" s="798"/>
      <c r="F111" s="798"/>
      <c r="G111" s="665"/>
      <c r="H111" s="665"/>
      <c r="I111" s="665">
        <f>Z111-AL111</f>
        <v>0</v>
      </c>
      <c r="J111" s="666">
        <f t="shared" si="34"/>
        <v>0</v>
      </c>
      <c r="K111" s="665"/>
      <c r="L111" s="1048"/>
      <c r="M111" s="655"/>
      <c r="N111" s="655"/>
      <c r="O111" s="655"/>
      <c r="P111" s="655"/>
      <c r="Q111" s="655"/>
      <c r="R111" s="655"/>
      <c r="S111" s="655"/>
      <c r="T111" s="655"/>
      <c r="U111" s="837"/>
      <c r="V111" s="665"/>
      <c r="W111" s="665"/>
      <c r="X111" s="665"/>
      <c r="Y111" s="665"/>
      <c r="Z111" s="665">
        <v>28950</v>
      </c>
      <c r="AA111" s="666">
        <f t="shared" si="30"/>
        <v>28950</v>
      </c>
      <c r="AB111" s="667"/>
      <c r="AC111" s="655"/>
      <c r="AD111" s="655"/>
      <c r="AE111" s="655"/>
      <c r="AF111" s="655"/>
      <c r="AG111" s="655"/>
      <c r="AH111" s="655"/>
      <c r="AI111" s="655"/>
      <c r="AJ111" s="655"/>
      <c r="AK111" s="790"/>
      <c r="AL111" s="1094">
        <f>28800+150</f>
        <v>28950</v>
      </c>
      <c r="AM111" s="791">
        <f t="shared" si="32"/>
        <v>0</v>
      </c>
      <c r="AN111" s="852" t="s">
        <v>477</v>
      </c>
    </row>
    <row r="112" spans="1:40" s="381" customFormat="1" ht="21.75" thickBot="1" x14ac:dyDescent="0.4">
      <c r="A112" s="850" t="s">
        <v>26</v>
      </c>
      <c r="B112" s="846">
        <v>970</v>
      </c>
      <c r="C112" s="903" t="s">
        <v>375</v>
      </c>
      <c r="D112" s="863" t="s">
        <v>377</v>
      </c>
      <c r="E112" s="798">
        <f>V112-AL112</f>
        <v>0</v>
      </c>
      <c r="F112" s="798"/>
      <c r="G112" s="665"/>
      <c r="H112" s="665"/>
      <c r="I112" s="665"/>
      <c r="J112" s="666">
        <f t="shared" si="34"/>
        <v>0</v>
      </c>
      <c r="K112" s="665"/>
      <c r="L112" s="1048"/>
      <c r="M112" s="655"/>
      <c r="N112" s="655"/>
      <c r="O112" s="655"/>
      <c r="P112" s="655"/>
      <c r="Q112" s="655"/>
      <c r="R112" s="655"/>
      <c r="S112" s="655"/>
      <c r="T112" s="655"/>
      <c r="U112" s="837"/>
      <c r="V112" s="665">
        <v>250000</v>
      </c>
      <c r="W112" s="665"/>
      <c r="X112" s="665"/>
      <c r="Y112" s="665"/>
      <c r="Z112" s="686"/>
      <c r="AA112" s="666">
        <f t="shared" si="30"/>
        <v>0</v>
      </c>
      <c r="AB112" s="667"/>
      <c r="AC112" s="655"/>
      <c r="AD112" s="655"/>
      <c r="AE112" s="655"/>
      <c r="AF112" s="655"/>
      <c r="AG112" s="655"/>
      <c r="AH112" s="655"/>
      <c r="AI112" s="655"/>
      <c r="AJ112" s="655"/>
      <c r="AK112" s="687"/>
      <c r="AL112" s="669">
        <f>19500+230500</f>
        <v>250000</v>
      </c>
      <c r="AM112" s="791">
        <f t="shared" si="32"/>
        <v>0</v>
      </c>
      <c r="AN112" s="852" t="s">
        <v>489</v>
      </c>
    </row>
    <row r="113" spans="1:40" s="381" customFormat="1" ht="21.75" thickBot="1" x14ac:dyDescent="0.4">
      <c r="A113" s="850" t="s">
        <v>26</v>
      </c>
      <c r="B113" s="846">
        <v>3377</v>
      </c>
      <c r="C113" s="903" t="s">
        <v>411</v>
      </c>
      <c r="D113" s="863" t="s">
        <v>322</v>
      </c>
      <c r="E113" s="798"/>
      <c r="F113" s="798"/>
      <c r="G113" s="665"/>
      <c r="H113" s="665"/>
      <c r="I113" s="665"/>
      <c r="J113" s="666">
        <f t="shared" si="34"/>
        <v>0</v>
      </c>
      <c r="K113" s="665"/>
      <c r="L113" s="1048"/>
      <c r="M113" s="655">
        <f>AD113-AL113</f>
        <v>0</v>
      </c>
      <c r="N113" s="655"/>
      <c r="O113" s="655"/>
      <c r="P113" s="655"/>
      <c r="Q113" s="655"/>
      <c r="R113" s="655"/>
      <c r="S113" s="655"/>
      <c r="T113" s="655"/>
      <c r="U113" s="837"/>
      <c r="V113" s="665"/>
      <c r="W113" s="665"/>
      <c r="X113" s="665"/>
      <c r="Y113" s="665"/>
      <c r="Z113" s="686"/>
      <c r="AA113" s="666">
        <f t="shared" si="30"/>
        <v>0</v>
      </c>
      <c r="AB113" s="667"/>
      <c r="AC113" s="655"/>
      <c r="AD113" s="655">
        <v>20000</v>
      </c>
      <c r="AE113" s="655"/>
      <c r="AF113" s="655"/>
      <c r="AG113" s="655"/>
      <c r="AH113" s="655"/>
      <c r="AI113" s="655"/>
      <c r="AJ113" s="655"/>
      <c r="AK113" s="687"/>
      <c r="AL113" s="669">
        <v>20000</v>
      </c>
      <c r="AM113" s="791">
        <f t="shared" si="32"/>
        <v>0</v>
      </c>
      <c r="AN113" s="852" t="s">
        <v>503</v>
      </c>
    </row>
    <row r="114" spans="1:40" s="381" customFormat="1" ht="21.75" thickBot="1" x14ac:dyDescent="0.4">
      <c r="A114" s="850" t="s">
        <v>26</v>
      </c>
      <c r="B114" s="846">
        <v>3374</v>
      </c>
      <c r="C114" s="903" t="s">
        <v>410</v>
      </c>
      <c r="D114" s="863" t="s">
        <v>322</v>
      </c>
      <c r="E114" s="798"/>
      <c r="F114" s="798"/>
      <c r="G114" s="665"/>
      <c r="H114" s="665"/>
      <c r="I114" s="665"/>
      <c r="J114" s="666">
        <f t="shared" si="34"/>
        <v>0</v>
      </c>
      <c r="K114" s="665"/>
      <c r="L114" s="1048"/>
      <c r="M114" s="655"/>
      <c r="N114" s="655">
        <f>AE114-AL114</f>
        <v>0</v>
      </c>
      <c r="O114" s="655"/>
      <c r="P114" s="655"/>
      <c r="Q114" s="655"/>
      <c r="R114" s="655"/>
      <c r="S114" s="655"/>
      <c r="T114" s="655"/>
      <c r="U114" s="837"/>
      <c r="V114" s="665"/>
      <c r="W114" s="665"/>
      <c r="X114" s="665"/>
      <c r="Y114" s="665"/>
      <c r="Z114" s="686"/>
      <c r="AA114" s="666">
        <f t="shared" si="30"/>
        <v>0</v>
      </c>
      <c r="AB114" s="667"/>
      <c r="AC114" s="655"/>
      <c r="AD114" s="655"/>
      <c r="AE114" s="655">
        <v>20000</v>
      </c>
      <c r="AF114" s="655"/>
      <c r="AG114" s="655"/>
      <c r="AH114" s="655"/>
      <c r="AI114" s="655"/>
      <c r="AJ114" s="655"/>
      <c r="AK114" s="687"/>
      <c r="AL114" s="669">
        <v>20000</v>
      </c>
      <c r="AM114" s="791">
        <f t="shared" si="32"/>
        <v>0</v>
      </c>
      <c r="AN114" s="852" t="s">
        <v>451</v>
      </c>
    </row>
    <row r="115" spans="1:40" s="381" customFormat="1" ht="21.75" thickBot="1" x14ac:dyDescent="0.4">
      <c r="A115" s="850" t="s">
        <v>26</v>
      </c>
      <c r="B115" s="846">
        <v>3387</v>
      </c>
      <c r="C115" s="903" t="s">
        <v>444</v>
      </c>
      <c r="D115" s="863" t="s">
        <v>445</v>
      </c>
      <c r="E115" s="798">
        <f>V115-AL115</f>
        <v>0</v>
      </c>
      <c r="F115" s="798"/>
      <c r="G115" s="665"/>
      <c r="H115" s="665"/>
      <c r="I115" s="665"/>
      <c r="J115" s="666">
        <f t="shared" si="34"/>
        <v>0</v>
      </c>
      <c r="K115" s="665"/>
      <c r="L115" s="1048"/>
      <c r="M115" s="655"/>
      <c r="N115" s="655"/>
      <c r="O115" s="655"/>
      <c r="P115" s="655"/>
      <c r="Q115" s="655"/>
      <c r="R115" s="655"/>
      <c r="S115" s="655"/>
      <c r="T115" s="655"/>
      <c r="U115" s="837"/>
      <c r="V115" s="665">
        <v>250000</v>
      </c>
      <c r="W115" s="665"/>
      <c r="X115" s="665"/>
      <c r="Y115" s="665"/>
      <c r="Z115" s="686"/>
      <c r="AA115" s="666">
        <f t="shared" si="30"/>
        <v>0</v>
      </c>
      <c r="AB115" s="667"/>
      <c r="AC115" s="655"/>
      <c r="AD115" s="655"/>
      <c r="AE115" s="655"/>
      <c r="AF115" s="655"/>
      <c r="AG115" s="655"/>
      <c r="AH115" s="655"/>
      <c r="AI115" s="655"/>
      <c r="AJ115" s="655"/>
      <c r="AK115" s="687"/>
      <c r="AL115" s="669">
        <f>94500+155500</f>
        <v>250000</v>
      </c>
      <c r="AM115" s="791">
        <f>(V115+W115+X115+Y115+Z115+AB115+AC115+AD115+AE115+AF115+AG115+AH115+AI115+AJ115+AK115)-AL115</f>
        <v>0</v>
      </c>
      <c r="AN115" s="852" t="s">
        <v>495</v>
      </c>
    </row>
    <row r="116" spans="1:40" s="379" customFormat="1" ht="21.75" thickBot="1" x14ac:dyDescent="0.4">
      <c r="A116" s="850" t="s">
        <v>26</v>
      </c>
      <c r="B116" s="846">
        <v>3400</v>
      </c>
      <c r="C116" s="903" t="s">
        <v>469</v>
      </c>
      <c r="D116" s="863" t="s">
        <v>470</v>
      </c>
      <c r="E116" s="665"/>
      <c r="F116" s="798"/>
      <c r="G116" s="798"/>
      <c r="H116" s="798"/>
      <c r="I116" s="665"/>
      <c r="J116" s="665">
        <f t="shared" si="34"/>
        <v>0</v>
      </c>
      <c r="K116" s="667">
        <f>AB116-AL116</f>
        <v>0</v>
      </c>
      <c r="L116" s="655"/>
      <c r="M116" s="655"/>
      <c r="N116" s="655"/>
      <c r="O116" s="655"/>
      <c r="P116" s="655"/>
      <c r="Q116" s="655"/>
      <c r="R116" s="655"/>
      <c r="S116" s="655"/>
      <c r="T116" s="655"/>
      <c r="U116" s="1090"/>
      <c r="V116" s="665"/>
      <c r="W116" s="665"/>
      <c r="X116" s="665"/>
      <c r="Y116" s="665"/>
      <c r="Z116" s="686"/>
      <c r="AA116" s="665">
        <f t="shared" si="30"/>
        <v>0</v>
      </c>
      <c r="AB116" s="667">
        <v>1000000</v>
      </c>
      <c r="AC116" s="1097"/>
      <c r="AD116" s="655"/>
      <c r="AE116" s="655"/>
      <c r="AF116" s="655"/>
      <c r="AG116" s="655"/>
      <c r="AH116" s="655"/>
      <c r="AI116" s="655"/>
      <c r="AJ116" s="655"/>
      <c r="AK116" s="687"/>
      <c r="AL116" s="669">
        <f>300000+532600+167400</f>
        <v>1000000</v>
      </c>
      <c r="AM116" s="791">
        <f>(V116+W116+X116+Y116+Z116+AB116+AC116+AD116+AE116+AF116+AG116+AH116+AI116+AJ116+AK116)-AL116</f>
        <v>0</v>
      </c>
      <c r="AN116" s="852" t="s">
        <v>674</v>
      </c>
    </row>
    <row r="117" spans="1:40" s="379" customFormat="1" ht="21.75" thickBot="1" x14ac:dyDescent="0.4">
      <c r="A117" s="850" t="s">
        <v>26</v>
      </c>
      <c r="B117" s="846">
        <v>3401</v>
      </c>
      <c r="C117" s="903" t="s">
        <v>469</v>
      </c>
      <c r="D117" s="863" t="s">
        <v>470</v>
      </c>
      <c r="E117" s="665"/>
      <c r="F117" s="798"/>
      <c r="G117" s="798"/>
      <c r="H117" s="798"/>
      <c r="I117" s="665"/>
      <c r="J117" s="666">
        <f t="shared" si="34"/>
        <v>0</v>
      </c>
      <c r="K117" s="667">
        <f>AB117-AL117</f>
        <v>0</v>
      </c>
      <c r="L117" s="655"/>
      <c r="M117" s="655"/>
      <c r="N117" s="655"/>
      <c r="O117" s="655"/>
      <c r="P117" s="655"/>
      <c r="Q117" s="655"/>
      <c r="R117" s="655"/>
      <c r="S117" s="655"/>
      <c r="T117" s="655"/>
      <c r="U117" s="837"/>
      <c r="V117" s="665"/>
      <c r="W117" s="665"/>
      <c r="X117" s="665"/>
      <c r="Y117" s="665"/>
      <c r="Z117" s="686"/>
      <c r="AA117" s="666">
        <f t="shared" si="30"/>
        <v>0</v>
      </c>
      <c r="AB117" s="667">
        <v>1000000</v>
      </c>
      <c r="AC117" s="655"/>
      <c r="AD117" s="655"/>
      <c r="AE117" s="655"/>
      <c r="AF117" s="655"/>
      <c r="AG117" s="655"/>
      <c r="AH117" s="655"/>
      <c r="AI117" s="655"/>
      <c r="AJ117" s="655"/>
      <c r="AK117" s="687"/>
      <c r="AL117" s="669">
        <f>955500+44500</f>
        <v>1000000</v>
      </c>
      <c r="AM117" s="669">
        <f>(V117+W117+X117+Y117+Z117+AB117+AC117+AD117+AE117+AF117+AG117+AH117+AI117+AJ117+AK117)-AL117</f>
        <v>0</v>
      </c>
      <c r="AN117" s="852" t="s">
        <v>490</v>
      </c>
    </row>
    <row r="118" spans="1:40" s="379" customFormat="1" ht="21.75" thickBot="1" x14ac:dyDescent="0.4">
      <c r="A118" s="380" t="s">
        <v>26</v>
      </c>
      <c r="B118" s="378">
        <v>3408</v>
      </c>
      <c r="C118" s="888" t="s">
        <v>474</v>
      </c>
      <c r="D118" s="889" t="s">
        <v>376</v>
      </c>
      <c r="E118" s="383"/>
      <c r="F118" s="799"/>
      <c r="G118" s="799"/>
      <c r="H118" s="799"/>
      <c r="I118" s="383"/>
      <c r="J118" s="384">
        <f t="shared" si="34"/>
        <v>0</v>
      </c>
      <c r="K118" s="1049"/>
      <c r="L118" s="385"/>
      <c r="M118" s="460">
        <f>AD118-AL118</f>
        <v>20000</v>
      </c>
      <c r="N118" s="385"/>
      <c r="O118" s="385"/>
      <c r="P118" s="385"/>
      <c r="Q118" s="385"/>
      <c r="R118" s="385"/>
      <c r="S118" s="385"/>
      <c r="T118" s="385"/>
      <c r="U118" s="837"/>
      <c r="V118" s="356"/>
      <c r="W118" s="356"/>
      <c r="X118" s="356"/>
      <c r="Y118" s="356"/>
      <c r="Z118" s="387"/>
      <c r="AA118" s="353">
        <f t="shared" si="30"/>
        <v>0</v>
      </c>
      <c r="AB118" s="358"/>
      <c r="AC118" s="388"/>
      <c r="AD118" s="388">
        <v>20000</v>
      </c>
      <c r="AE118" s="388"/>
      <c r="AF118" s="388"/>
      <c r="AG118" s="388"/>
      <c r="AH118" s="388"/>
      <c r="AI118" s="388"/>
      <c r="AJ118" s="388"/>
      <c r="AK118" s="438"/>
      <c r="AL118" s="436"/>
      <c r="AM118" s="881">
        <f t="shared" ref="AM118:AM137" si="35">(V118+W118+X118+Y118+Z118+AB118+AC118+AD118+AE118+AF118+AG118+AH118+AI118+AJ118+AK118)-AL118</f>
        <v>20000</v>
      </c>
      <c r="AN118" s="386"/>
    </row>
    <row r="119" spans="1:40" s="379" customFormat="1" ht="21.75" thickBot="1" x14ac:dyDescent="0.4">
      <c r="A119" s="380" t="s">
        <v>26</v>
      </c>
      <c r="B119" s="378">
        <v>3448</v>
      </c>
      <c r="C119" s="888" t="s">
        <v>649</v>
      </c>
      <c r="D119" s="889" t="s">
        <v>653</v>
      </c>
      <c r="E119" s="383">
        <f t="shared" ref="E119:E129" si="36">V119-AL119</f>
        <v>200000</v>
      </c>
      <c r="F119" s="799"/>
      <c r="G119" s="799"/>
      <c r="H119" s="799"/>
      <c r="I119" s="383"/>
      <c r="J119" s="384">
        <f t="shared" si="34"/>
        <v>0</v>
      </c>
      <c r="K119" s="1049"/>
      <c r="L119" s="385"/>
      <c r="M119" s="460"/>
      <c r="N119" s="385"/>
      <c r="O119" s="385"/>
      <c r="P119" s="385"/>
      <c r="Q119" s="385"/>
      <c r="R119" s="385"/>
      <c r="S119" s="385"/>
      <c r="T119" s="385"/>
      <c r="U119" s="837"/>
      <c r="V119" s="356">
        <v>212500</v>
      </c>
      <c r="W119" s="356"/>
      <c r="X119" s="356"/>
      <c r="Y119" s="356"/>
      <c r="Z119" s="387"/>
      <c r="AA119" s="353">
        <f t="shared" si="30"/>
        <v>0</v>
      </c>
      <c r="AB119" s="358"/>
      <c r="AC119" s="388"/>
      <c r="AD119" s="388"/>
      <c r="AE119" s="388"/>
      <c r="AF119" s="388"/>
      <c r="AG119" s="388"/>
      <c r="AH119" s="388"/>
      <c r="AI119" s="388"/>
      <c r="AJ119" s="388"/>
      <c r="AK119" s="438"/>
      <c r="AL119" s="436">
        <v>12500</v>
      </c>
      <c r="AM119" s="881">
        <f t="shared" si="35"/>
        <v>200000</v>
      </c>
      <c r="AN119" s="386" t="s">
        <v>676</v>
      </c>
    </row>
    <row r="120" spans="1:40" s="379" customFormat="1" ht="21.75" thickBot="1" x14ac:dyDescent="0.4">
      <c r="A120" s="380" t="s">
        <v>26</v>
      </c>
      <c r="B120" s="378">
        <v>3449</v>
      </c>
      <c r="C120" s="888" t="s">
        <v>650</v>
      </c>
      <c r="D120" s="889" t="s">
        <v>654</v>
      </c>
      <c r="E120" s="383">
        <f t="shared" si="36"/>
        <v>0</v>
      </c>
      <c r="F120" s="799">
        <f>W120-AL120</f>
        <v>30000</v>
      </c>
      <c r="G120" s="799"/>
      <c r="H120" s="799"/>
      <c r="I120" s="383"/>
      <c r="J120" s="384">
        <f t="shared" si="34"/>
        <v>30000</v>
      </c>
      <c r="K120" s="1049"/>
      <c r="L120" s="385"/>
      <c r="M120" s="460"/>
      <c r="N120" s="385"/>
      <c r="O120" s="385"/>
      <c r="P120" s="385"/>
      <c r="Q120" s="385"/>
      <c r="R120" s="385"/>
      <c r="S120" s="385"/>
      <c r="T120" s="385"/>
      <c r="U120" s="837"/>
      <c r="V120" s="356"/>
      <c r="W120" s="356">
        <v>30000</v>
      </c>
      <c r="X120" s="356"/>
      <c r="Y120" s="356"/>
      <c r="Z120" s="387"/>
      <c r="AA120" s="353">
        <f t="shared" si="30"/>
        <v>30000</v>
      </c>
      <c r="AB120" s="358"/>
      <c r="AC120" s="388"/>
      <c r="AD120" s="388"/>
      <c r="AE120" s="388"/>
      <c r="AF120" s="388"/>
      <c r="AG120" s="388"/>
      <c r="AH120" s="388"/>
      <c r="AI120" s="388"/>
      <c r="AJ120" s="388"/>
      <c r="AK120" s="438"/>
      <c r="AL120" s="436"/>
      <c r="AM120" s="881">
        <f t="shared" si="35"/>
        <v>30000</v>
      </c>
      <c r="AN120" s="386"/>
    </row>
    <row r="121" spans="1:40" s="379" customFormat="1" ht="21.75" thickBot="1" x14ac:dyDescent="0.4">
      <c r="A121" s="380" t="s">
        <v>26</v>
      </c>
      <c r="B121" s="378">
        <v>3462</v>
      </c>
      <c r="C121" s="888">
        <v>45964</v>
      </c>
      <c r="D121" s="889">
        <v>46142</v>
      </c>
      <c r="E121" s="383">
        <f t="shared" si="36"/>
        <v>0</v>
      </c>
      <c r="F121" s="799">
        <f t="shared" ref="F121:F129" si="37">W121-AL121</f>
        <v>60000</v>
      </c>
      <c r="G121" s="799"/>
      <c r="H121" s="799"/>
      <c r="I121" s="383"/>
      <c r="J121" s="384">
        <f t="shared" si="34"/>
        <v>60000</v>
      </c>
      <c r="K121" s="1049"/>
      <c r="L121" s="385"/>
      <c r="M121" s="460"/>
      <c r="N121" s="385"/>
      <c r="O121" s="385"/>
      <c r="P121" s="385"/>
      <c r="Q121" s="385"/>
      <c r="R121" s="385"/>
      <c r="S121" s="385"/>
      <c r="T121" s="385"/>
      <c r="U121" s="837"/>
      <c r="V121" s="356"/>
      <c r="W121" s="356">
        <v>60000</v>
      </c>
      <c r="X121" s="356"/>
      <c r="Y121" s="356"/>
      <c r="Z121" s="387"/>
      <c r="AA121" s="353">
        <f t="shared" si="30"/>
        <v>60000</v>
      </c>
      <c r="AB121" s="358"/>
      <c r="AC121" s="388"/>
      <c r="AD121" s="388"/>
      <c r="AE121" s="388"/>
      <c r="AF121" s="388"/>
      <c r="AG121" s="388"/>
      <c r="AH121" s="388"/>
      <c r="AI121" s="388"/>
      <c r="AJ121" s="388"/>
      <c r="AK121" s="438"/>
      <c r="AL121" s="436"/>
      <c r="AM121" s="881">
        <f t="shared" si="35"/>
        <v>60000</v>
      </c>
      <c r="AN121" s="386"/>
    </row>
    <row r="122" spans="1:40" s="379" customFormat="1" ht="21.75" thickBot="1" x14ac:dyDescent="0.4">
      <c r="A122" s="380" t="s">
        <v>26</v>
      </c>
      <c r="B122" s="378">
        <v>3462</v>
      </c>
      <c r="C122" s="888">
        <v>45964</v>
      </c>
      <c r="D122" s="889">
        <v>46142</v>
      </c>
      <c r="E122" s="383">
        <f t="shared" si="36"/>
        <v>0</v>
      </c>
      <c r="F122" s="799">
        <f t="shared" si="37"/>
        <v>0</v>
      </c>
      <c r="G122" s="799">
        <f t="shared" ref="G122:G129" si="38">X122-AL122</f>
        <v>60000</v>
      </c>
      <c r="H122" s="799"/>
      <c r="I122" s="383"/>
      <c r="J122" s="384">
        <f t="shared" si="34"/>
        <v>60000</v>
      </c>
      <c r="K122" s="1049"/>
      <c r="L122" s="385"/>
      <c r="M122" s="460"/>
      <c r="N122" s="385"/>
      <c r="O122" s="385"/>
      <c r="P122" s="385"/>
      <c r="Q122" s="385"/>
      <c r="R122" s="385"/>
      <c r="S122" s="385"/>
      <c r="T122" s="385"/>
      <c r="U122" s="837"/>
      <c r="V122" s="356"/>
      <c r="W122" s="356"/>
      <c r="X122" s="356">
        <v>60000</v>
      </c>
      <c r="Y122" s="356"/>
      <c r="Z122" s="387"/>
      <c r="AA122" s="353">
        <f t="shared" si="30"/>
        <v>60000</v>
      </c>
      <c r="AB122" s="358"/>
      <c r="AC122" s="388"/>
      <c r="AD122" s="388"/>
      <c r="AE122" s="388"/>
      <c r="AF122" s="388"/>
      <c r="AG122" s="388"/>
      <c r="AH122" s="388"/>
      <c r="AI122" s="388"/>
      <c r="AJ122" s="388"/>
      <c r="AK122" s="438"/>
      <c r="AL122" s="436"/>
      <c r="AM122" s="881">
        <f t="shared" si="35"/>
        <v>60000</v>
      </c>
      <c r="AN122" s="386"/>
    </row>
    <row r="123" spans="1:40" s="379" customFormat="1" ht="21.75" thickBot="1" x14ac:dyDescent="0.4">
      <c r="A123" s="380" t="s">
        <v>26</v>
      </c>
      <c r="B123" s="378">
        <v>3462</v>
      </c>
      <c r="C123" s="888">
        <v>45964</v>
      </c>
      <c r="D123" s="889">
        <v>46142</v>
      </c>
      <c r="E123" s="383">
        <f t="shared" ref="E123" si="39">V123-AL123</f>
        <v>0</v>
      </c>
      <c r="F123" s="799">
        <f t="shared" ref="F123" si="40">W123-AL123</f>
        <v>0</v>
      </c>
      <c r="G123" s="799">
        <f t="shared" ref="G123" si="41">X123-AL123</f>
        <v>0</v>
      </c>
      <c r="H123" s="799">
        <f t="shared" ref="H123" si="42">Y123-AL123</f>
        <v>30000</v>
      </c>
      <c r="I123" s="383"/>
      <c r="J123" s="384">
        <f t="shared" ref="J123" si="43">SUM(F123:I123)</f>
        <v>30000</v>
      </c>
      <c r="K123" s="1049"/>
      <c r="L123" s="385"/>
      <c r="M123" s="460"/>
      <c r="N123" s="385"/>
      <c r="O123" s="385"/>
      <c r="P123" s="385"/>
      <c r="Q123" s="385"/>
      <c r="R123" s="385"/>
      <c r="S123" s="385"/>
      <c r="T123" s="385"/>
      <c r="U123" s="837"/>
      <c r="V123" s="356"/>
      <c r="W123" s="356"/>
      <c r="X123" s="356"/>
      <c r="Y123" s="356">
        <v>30000</v>
      </c>
      <c r="Z123" s="387"/>
      <c r="AA123" s="353">
        <f t="shared" ref="AA123" si="44">SUM(W123:Z123)</f>
        <v>30000</v>
      </c>
      <c r="AB123" s="358"/>
      <c r="AC123" s="388"/>
      <c r="AD123" s="388"/>
      <c r="AE123" s="388"/>
      <c r="AF123" s="388"/>
      <c r="AG123" s="388"/>
      <c r="AH123" s="388"/>
      <c r="AI123" s="388"/>
      <c r="AJ123" s="388"/>
      <c r="AK123" s="438"/>
      <c r="AL123" s="436"/>
      <c r="AM123" s="881">
        <f t="shared" ref="AM123" si="45">(V123+W123+X123+Y123+Z123+AB123+AC123+AD123+AE123+AF123+AG123+AH123+AI123+AJ123+AK123)-AL123</f>
        <v>30000</v>
      </c>
      <c r="AN123" s="386"/>
    </row>
    <row r="124" spans="1:40" s="379" customFormat="1" ht="21.75" thickBot="1" x14ac:dyDescent="0.4">
      <c r="A124" s="380" t="s">
        <v>26</v>
      </c>
      <c r="B124" s="378">
        <v>3449</v>
      </c>
      <c r="C124" s="888" t="s">
        <v>649</v>
      </c>
      <c r="D124" s="889" t="s">
        <v>653</v>
      </c>
      <c r="E124" s="383">
        <f t="shared" si="36"/>
        <v>0</v>
      </c>
      <c r="F124" s="799">
        <f t="shared" si="37"/>
        <v>0</v>
      </c>
      <c r="G124" s="799">
        <f t="shared" si="38"/>
        <v>9540</v>
      </c>
      <c r="H124" s="799"/>
      <c r="I124" s="383"/>
      <c r="J124" s="384">
        <f t="shared" si="34"/>
        <v>9540</v>
      </c>
      <c r="K124" s="1049"/>
      <c r="L124" s="385"/>
      <c r="M124" s="460"/>
      <c r="N124" s="385"/>
      <c r="O124" s="385"/>
      <c r="P124" s="385"/>
      <c r="Q124" s="385"/>
      <c r="R124" s="385"/>
      <c r="S124" s="385"/>
      <c r="T124" s="385"/>
      <c r="U124" s="837"/>
      <c r="V124" s="356"/>
      <c r="W124" s="356"/>
      <c r="X124" s="356">
        <v>9540</v>
      </c>
      <c r="Y124" s="356"/>
      <c r="Z124" s="387"/>
      <c r="AA124" s="353">
        <f t="shared" si="30"/>
        <v>9540</v>
      </c>
      <c r="AB124" s="358"/>
      <c r="AC124" s="388"/>
      <c r="AD124" s="388"/>
      <c r="AE124" s="388"/>
      <c r="AF124" s="388"/>
      <c r="AG124" s="388"/>
      <c r="AH124" s="388"/>
      <c r="AI124" s="388"/>
      <c r="AJ124" s="388"/>
      <c r="AK124" s="438"/>
      <c r="AL124" s="436"/>
      <c r="AM124" s="881">
        <f t="shared" si="35"/>
        <v>9540</v>
      </c>
      <c r="AN124" s="386"/>
    </row>
    <row r="125" spans="1:40" s="379" customFormat="1" ht="21.75" thickBot="1" x14ac:dyDescent="0.4">
      <c r="A125" s="380" t="s">
        <v>26</v>
      </c>
      <c r="B125" s="378">
        <v>3449</v>
      </c>
      <c r="C125" s="888" t="s">
        <v>650</v>
      </c>
      <c r="D125" s="889" t="s">
        <v>654</v>
      </c>
      <c r="E125" s="383">
        <f t="shared" si="36"/>
        <v>0</v>
      </c>
      <c r="F125" s="799">
        <f t="shared" si="37"/>
        <v>0</v>
      </c>
      <c r="G125" s="799">
        <f t="shared" si="38"/>
        <v>0</v>
      </c>
      <c r="H125" s="799">
        <f>Y125-AL125</f>
        <v>30000</v>
      </c>
      <c r="I125" s="383"/>
      <c r="J125" s="384">
        <f t="shared" si="34"/>
        <v>30000</v>
      </c>
      <c r="K125" s="1049"/>
      <c r="L125" s="385"/>
      <c r="M125" s="460"/>
      <c r="N125" s="385"/>
      <c r="O125" s="385"/>
      <c r="P125" s="385"/>
      <c r="Q125" s="385"/>
      <c r="R125" s="385"/>
      <c r="S125" s="385"/>
      <c r="T125" s="385"/>
      <c r="U125" s="837"/>
      <c r="V125" s="356"/>
      <c r="W125" s="356"/>
      <c r="X125" s="356"/>
      <c r="Y125" s="356">
        <v>30000</v>
      </c>
      <c r="Z125" s="387"/>
      <c r="AA125" s="353">
        <f t="shared" si="30"/>
        <v>30000</v>
      </c>
      <c r="AB125" s="358"/>
      <c r="AC125" s="388"/>
      <c r="AD125" s="388"/>
      <c r="AE125" s="388"/>
      <c r="AF125" s="388"/>
      <c r="AG125" s="388"/>
      <c r="AH125" s="388"/>
      <c r="AI125" s="388"/>
      <c r="AJ125" s="388"/>
      <c r="AK125" s="438"/>
      <c r="AL125" s="436"/>
      <c r="AM125" s="881">
        <f t="shared" si="35"/>
        <v>30000</v>
      </c>
      <c r="AN125" s="386"/>
    </row>
    <row r="126" spans="1:40" s="379" customFormat="1" ht="21.75" thickBot="1" x14ac:dyDescent="0.4">
      <c r="A126" s="380" t="s">
        <v>26</v>
      </c>
      <c r="B126" s="378">
        <v>3463</v>
      </c>
      <c r="C126" s="888" t="s">
        <v>649</v>
      </c>
      <c r="D126" s="889" t="s">
        <v>653</v>
      </c>
      <c r="E126" s="383">
        <f t="shared" si="36"/>
        <v>0</v>
      </c>
      <c r="F126" s="799">
        <f t="shared" si="37"/>
        <v>0</v>
      </c>
      <c r="G126" s="799">
        <f t="shared" si="38"/>
        <v>0</v>
      </c>
      <c r="H126" s="799">
        <f t="shared" ref="H126:H129" si="46">Y126-AL126</f>
        <v>0</v>
      </c>
      <c r="I126" s="383"/>
      <c r="J126" s="384">
        <f t="shared" si="34"/>
        <v>0</v>
      </c>
      <c r="K126" s="1049"/>
      <c r="L126" s="385"/>
      <c r="M126" s="460"/>
      <c r="N126" s="385"/>
      <c r="O126" s="385"/>
      <c r="P126" s="385"/>
      <c r="Q126" s="385"/>
      <c r="R126" s="385"/>
      <c r="S126" s="385"/>
      <c r="T126" s="385"/>
      <c r="U126" s="837"/>
      <c r="V126" s="356"/>
      <c r="W126" s="356"/>
      <c r="X126" s="356"/>
      <c r="Y126" s="356">
        <v>0</v>
      </c>
      <c r="Z126" s="387">
        <v>30000</v>
      </c>
      <c r="AA126" s="353">
        <f t="shared" si="30"/>
        <v>30000</v>
      </c>
      <c r="AB126" s="358"/>
      <c r="AC126" s="388"/>
      <c r="AD126" s="388"/>
      <c r="AE126" s="388"/>
      <c r="AF126" s="388"/>
      <c r="AG126" s="388"/>
      <c r="AH126" s="388"/>
      <c r="AI126" s="388"/>
      <c r="AJ126" s="388"/>
      <c r="AK126" s="438"/>
      <c r="AL126" s="436"/>
      <c r="AM126" s="881">
        <f t="shared" si="35"/>
        <v>30000</v>
      </c>
      <c r="AN126" s="386"/>
    </row>
    <row r="127" spans="1:40" s="379" customFormat="1" ht="21.75" thickBot="1" x14ac:dyDescent="0.4">
      <c r="A127" s="380" t="s">
        <v>26</v>
      </c>
      <c r="B127" s="378">
        <v>3449</v>
      </c>
      <c r="C127" s="888" t="s">
        <v>650</v>
      </c>
      <c r="D127" s="889" t="s">
        <v>654</v>
      </c>
      <c r="E127" s="383">
        <f t="shared" si="36"/>
        <v>0</v>
      </c>
      <c r="F127" s="799">
        <f t="shared" si="37"/>
        <v>0</v>
      </c>
      <c r="G127" s="799">
        <f t="shared" si="38"/>
        <v>0</v>
      </c>
      <c r="H127" s="799">
        <f t="shared" si="46"/>
        <v>0</v>
      </c>
      <c r="I127" s="383">
        <f>Z127-AL127</f>
        <v>30000</v>
      </c>
      <c r="J127" s="384">
        <f t="shared" si="34"/>
        <v>30000</v>
      </c>
      <c r="K127" s="1049"/>
      <c r="L127" s="385"/>
      <c r="M127" s="460"/>
      <c r="N127" s="385"/>
      <c r="O127" s="385"/>
      <c r="P127" s="385"/>
      <c r="Q127" s="385"/>
      <c r="R127" s="385"/>
      <c r="S127" s="385"/>
      <c r="T127" s="385"/>
      <c r="U127" s="837"/>
      <c r="V127" s="356"/>
      <c r="W127" s="356"/>
      <c r="X127" s="356"/>
      <c r="Y127" s="356"/>
      <c r="Z127" s="387">
        <v>30000</v>
      </c>
      <c r="AA127" s="353">
        <f t="shared" si="30"/>
        <v>30000</v>
      </c>
      <c r="AB127" s="358"/>
      <c r="AC127" s="388"/>
      <c r="AD127" s="388"/>
      <c r="AE127" s="388"/>
      <c r="AF127" s="388"/>
      <c r="AG127" s="388"/>
      <c r="AH127" s="388"/>
      <c r="AI127" s="388"/>
      <c r="AJ127" s="388"/>
      <c r="AK127" s="438"/>
      <c r="AL127" s="436"/>
      <c r="AM127" s="881">
        <f t="shared" si="35"/>
        <v>30000</v>
      </c>
      <c r="AN127" s="386"/>
    </row>
    <row r="128" spans="1:40" s="379" customFormat="1" ht="21.75" thickBot="1" x14ac:dyDescent="0.4">
      <c r="A128" s="850" t="s">
        <v>26</v>
      </c>
      <c r="B128" s="846">
        <v>3450</v>
      </c>
      <c r="C128" s="903" t="s">
        <v>652</v>
      </c>
      <c r="D128" s="863" t="s">
        <v>654</v>
      </c>
      <c r="E128" s="665"/>
      <c r="F128" s="798"/>
      <c r="G128" s="798"/>
      <c r="H128" s="798"/>
      <c r="I128" s="665"/>
      <c r="J128" s="665">
        <f t="shared" si="34"/>
        <v>0</v>
      </c>
      <c r="K128" s="667">
        <f>AB128-AL128</f>
        <v>0</v>
      </c>
      <c r="L128" s="655"/>
      <c r="M128" s="655"/>
      <c r="N128" s="655"/>
      <c r="O128" s="655"/>
      <c r="P128" s="655"/>
      <c r="Q128" s="655"/>
      <c r="R128" s="655"/>
      <c r="S128" s="655"/>
      <c r="T128" s="655"/>
      <c r="U128" s="1090"/>
      <c r="V128" s="665"/>
      <c r="W128" s="665"/>
      <c r="X128" s="665"/>
      <c r="Y128" s="665"/>
      <c r="Z128" s="686"/>
      <c r="AA128" s="665">
        <f t="shared" si="30"/>
        <v>0</v>
      </c>
      <c r="AB128" s="667">
        <v>500000</v>
      </c>
      <c r="AC128" s="655"/>
      <c r="AD128" s="655"/>
      <c r="AE128" s="655"/>
      <c r="AF128" s="655"/>
      <c r="AG128" s="655"/>
      <c r="AH128" s="655"/>
      <c r="AI128" s="655"/>
      <c r="AJ128" s="655"/>
      <c r="AK128" s="687"/>
      <c r="AL128" s="669">
        <v>500000</v>
      </c>
      <c r="AM128" s="669">
        <f t="shared" si="35"/>
        <v>0</v>
      </c>
      <c r="AN128" s="852" t="s">
        <v>675</v>
      </c>
    </row>
    <row r="129" spans="1:40" s="379" customFormat="1" ht="21.75" thickBot="1" x14ac:dyDescent="0.4">
      <c r="A129" s="380" t="s">
        <v>26</v>
      </c>
      <c r="B129" s="378">
        <v>3449</v>
      </c>
      <c r="C129" s="888" t="s">
        <v>650</v>
      </c>
      <c r="D129" s="889" t="s">
        <v>654</v>
      </c>
      <c r="E129" s="383">
        <f t="shared" si="36"/>
        <v>0</v>
      </c>
      <c r="F129" s="799">
        <f t="shared" si="37"/>
        <v>0</v>
      </c>
      <c r="G129" s="799">
        <f t="shared" si="38"/>
        <v>0</v>
      </c>
      <c r="H129" s="799">
        <f t="shared" si="46"/>
        <v>0</v>
      </c>
      <c r="I129" s="383">
        <f t="shared" ref="I129" si="47">Z129-AL129</f>
        <v>0</v>
      </c>
      <c r="J129" s="384">
        <f t="shared" si="34"/>
        <v>0</v>
      </c>
      <c r="K129" s="1049">
        <f>AB129-AL129</f>
        <v>400000</v>
      </c>
      <c r="L129" s="385"/>
      <c r="M129" s="460"/>
      <c r="N129" s="385"/>
      <c r="O129" s="385"/>
      <c r="P129" s="385"/>
      <c r="Q129" s="385"/>
      <c r="R129" s="385"/>
      <c r="S129" s="385"/>
      <c r="T129" s="385"/>
      <c r="U129" s="837"/>
      <c r="V129" s="356"/>
      <c r="W129" s="356"/>
      <c r="X129" s="356"/>
      <c r="Y129" s="356"/>
      <c r="Z129" s="387"/>
      <c r="AA129" s="353">
        <f t="shared" si="30"/>
        <v>0</v>
      </c>
      <c r="AB129" s="358">
        <v>400000</v>
      </c>
      <c r="AC129" s="388"/>
      <c r="AD129" s="388"/>
      <c r="AE129" s="388"/>
      <c r="AF129" s="388"/>
      <c r="AG129" s="388"/>
      <c r="AH129" s="388"/>
      <c r="AI129" s="388"/>
      <c r="AJ129" s="388"/>
      <c r="AK129" s="438"/>
      <c r="AL129" s="436"/>
      <c r="AM129" s="881">
        <f t="shared" si="35"/>
        <v>400000</v>
      </c>
      <c r="AN129" s="386"/>
    </row>
    <row r="130" spans="1:40" s="379" customFormat="1" ht="21.75" thickBot="1" x14ac:dyDescent="0.4">
      <c r="A130" s="380" t="s">
        <v>26</v>
      </c>
      <c r="B130" s="378">
        <v>3467</v>
      </c>
      <c r="C130" s="888" t="s">
        <v>657</v>
      </c>
      <c r="D130" s="1156" t="s">
        <v>653</v>
      </c>
      <c r="E130" s="1169"/>
      <c r="F130" s="799"/>
      <c r="G130" s="799"/>
      <c r="H130" s="799"/>
      <c r="I130" s="383"/>
      <c r="J130" s="384"/>
      <c r="K130" s="1049"/>
      <c r="L130" s="385"/>
      <c r="M130" s="460"/>
      <c r="N130" s="385">
        <f>AE130-AL130</f>
        <v>4000</v>
      </c>
      <c r="O130" s="385"/>
      <c r="P130" s="385"/>
      <c r="Q130" s="385"/>
      <c r="R130" s="385"/>
      <c r="S130" s="385"/>
      <c r="T130" s="385"/>
      <c r="U130" s="837"/>
      <c r="V130" s="356"/>
      <c r="W130" s="356"/>
      <c r="X130" s="356"/>
      <c r="Y130" s="356"/>
      <c r="Z130" s="387"/>
      <c r="AA130" s="353"/>
      <c r="AB130" s="358"/>
      <c r="AC130" s="388"/>
      <c r="AD130" s="388"/>
      <c r="AE130" s="388">
        <v>4000</v>
      </c>
      <c r="AF130" s="388"/>
      <c r="AG130" s="388"/>
      <c r="AH130" s="388"/>
      <c r="AI130" s="388"/>
      <c r="AJ130" s="388"/>
      <c r="AK130" s="438"/>
      <c r="AL130" s="436"/>
      <c r="AM130" s="881">
        <f t="shared" si="35"/>
        <v>4000</v>
      </c>
      <c r="AN130" s="386"/>
    </row>
    <row r="131" spans="1:40" s="379" customFormat="1" ht="21.75" thickBot="1" x14ac:dyDescent="0.4">
      <c r="A131" s="380" t="s">
        <v>26</v>
      </c>
      <c r="B131" s="378">
        <v>3467</v>
      </c>
      <c r="C131" s="888" t="s">
        <v>657</v>
      </c>
      <c r="D131" s="889" t="s">
        <v>653</v>
      </c>
      <c r="E131" s="1169"/>
      <c r="F131" s="799"/>
      <c r="G131" s="799"/>
      <c r="H131" s="799"/>
      <c r="I131" s="383"/>
      <c r="J131" s="384"/>
      <c r="K131" s="1049"/>
      <c r="L131" s="385"/>
      <c r="M131" s="460">
        <f>AD131-AL131</f>
        <v>0</v>
      </c>
      <c r="N131" s="385"/>
      <c r="O131" s="385"/>
      <c r="P131" s="385"/>
      <c r="Q131" s="385"/>
      <c r="R131" s="385"/>
      <c r="S131" s="385"/>
      <c r="T131" s="385"/>
      <c r="U131" s="837"/>
      <c r="V131" s="356"/>
      <c r="W131" s="356"/>
      <c r="X131" s="356"/>
      <c r="Y131" s="356"/>
      <c r="Z131" s="387"/>
      <c r="AA131" s="353"/>
      <c r="AB131" s="358"/>
      <c r="AC131" s="388"/>
      <c r="AD131" s="388">
        <v>10000</v>
      </c>
      <c r="AE131" s="388"/>
      <c r="AF131" s="388"/>
      <c r="AG131" s="388"/>
      <c r="AH131" s="388"/>
      <c r="AI131" s="388"/>
      <c r="AJ131" s="388"/>
      <c r="AK131" s="438"/>
      <c r="AL131" s="436">
        <v>10000</v>
      </c>
      <c r="AM131" s="881">
        <f t="shared" si="35"/>
        <v>0</v>
      </c>
      <c r="AN131" s="386" t="s">
        <v>701</v>
      </c>
    </row>
    <row r="132" spans="1:40" s="379" customFormat="1" ht="21.75" thickBot="1" x14ac:dyDescent="0.4">
      <c r="A132" s="380" t="s">
        <v>26</v>
      </c>
      <c r="B132" s="378">
        <v>3465</v>
      </c>
      <c r="C132" s="888" t="s">
        <v>657</v>
      </c>
      <c r="D132" s="889" t="s">
        <v>653</v>
      </c>
      <c r="E132" s="383"/>
      <c r="F132" s="799"/>
      <c r="G132" s="799"/>
      <c r="H132" s="799"/>
      <c r="I132" s="383"/>
      <c r="J132" s="384"/>
      <c r="K132" s="1049">
        <f>AB132-AL132</f>
        <v>200000</v>
      </c>
      <c r="L132" s="385"/>
      <c r="M132" s="460"/>
      <c r="N132" s="385"/>
      <c r="O132" s="385"/>
      <c r="P132" s="385"/>
      <c r="Q132" s="385"/>
      <c r="R132" s="385"/>
      <c r="S132" s="385"/>
      <c r="T132" s="385"/>
      <c r="U132" s="837"/>
      <c r="V132" s="356"/>
      <c r="W132" s="356"/>
      <c r="X132" s="356"/>
      <c r="Y132" s="356"/>
      <c r="Z132" s="387"/>
      <c r="AA132" s="353"/>
      <c r="AB132" s="358">
        <v>200000</v>
      </c>
      <c r="AC132" s="388"/>
      <c r="AD132" s="388"/>
      <c r="AE132" s="388"/>
      <c r="AF132" s="388"/>
      <c r="AG132" s="388"/>
      <c r="AH132" s="388"/>
      <c r="AI132" s="388"/>
      <c r="AJ132" s="388"/>
      <c r="AK132" s="438"/>
      <c r="AL132" s="436"/>
      <c r="AM132" s="881">
        <f t="shared" si="35"/>
        <v>200000</v>
      </c>
      <c r="AN132" s="386"/>
    </row>
    <row r="133" spans="1:40" s="379" customFormat="1" ht="21.75" thickBot="1" x14ac:dyDescent="0.4">
      <c r="A133" s="380" t="s">
        <v>26</v>
      </c>
      <c r="B133" s="1164">
        <v>3466</v>
      </c>
      <c r="C133" s="1156" t="s">
        <v>657</v>
      </c>
      <c r="D133" s="889" t="s">
        <v>653</v>
      </c>
      <c r="E133" s="383"/>
      <c r="F133" s="799"/>
      <c r="G133" s="799"/>
      <c r="H133" s="799"/>
      <c r="I133" s="383"/>
      <c r="J133" s="384"/>
      <c r="K133" s="1049"/>
      <c r="L133" s="385">
        <f>AC133-AL133</f>
        <v>124400</v>
      </c>
      <c r="M133" s="460"/>
      <c r="N133" s="385"/>
      <c r="O133" s="385"/>
      <c r="P133" s="385"/>
      <c r="Q133" s="385"/>
      <c r="R133" s="385"/>
      <c r="S133" s="385"/>
      <c r="T133" s="385"/>
      <c r="U133" s="837"/>
      <c r="V133" s="356"/>
      <c r="W133" s="356"/>
      <c r="X133" s="356"/>
      <c r="Y133" s="356"/>
      <c r="Z133" s="387"/>
      <c r="AA133" s="353"/>
      <c r="AB133" s="358"/>
      <c r="AC133" s="388">
        <v>200000</v>
      </c>
      <c r="AD133" s="388"/>
      <c r="AE133" s="388"/>
      <c r="AF133" s="388"/>
      <c r="AG133" s="388"/>
      <c r="AH133" s="388"/>
      <c r="AI133" s="388"/>
      <c r="AJ133" s="388"/>
      <c r="AK133" s="438"/>
      <c r="AL133" s="436">
        <v>75600</v>
      </c>
      <c r="AM133" s="881">
        <f t="shared" si="35"/>
        <v>124400</v>
      </c>
      <c r="AN133" s="386" t="s">
        <v>702</v>
      </c>
    </row>
    <row r="134" spans="1:40" s="379" customFormat="1" ht="21.75" thickBot="1" x14ac:dyDescent="0.4">
      <c r="A134" s="380" t="s">
        <v>26</v>
      </c>
      <c r="B134" s="1164">
        <v>3465</v>
      </c>
      <c r="C134" s="1156" t="s">
        <v>657</v>
      </c>
      <c r="D134" s="889" t="s">
        <v>653</v>
      </c>
      <c r="E134" s="383"/>
      <c r="F134" s="799"/>
      <c r="G134" s="799"/>
      <c r="H134" s="799"/>
      <c r="I134" s="383"/>
      <c r="J134" s="384"/>
      <c r="K134" s="1049"/>
      <c r="L134" s="385"/>
      <c r="M134" s="460"/>
      <c r="N134" s="385"/>
      <c r="O134" s="385"/>
      <c r="P134" s="385"/>
      <c r="Q134" s="385">
        <f>AH134-AL134</f>
        <v>100000</v>
      </c>
      <c r="R134" s="385"/>
      <c r="S134" s="385"/>
      <c r="T134" s="385"/>
      <c r="U134" s="837"/>
      <c r="V134" s="356"/>
      <c r="W134" s="356"/>
      <c r="X134" s="356"/>
      <c r="Y134" s="356"/>
      <c r="Z134" s="387"/>
      <c r="AA134" s="353"/>
      <c r="AB134" s="358"/>
      <c r="AC134" s="388"/>
      <c r="AD134" s="388"/>
      <c r="AE134" s="388"/>
      <c r="AF134" s="388"/>
      <c r="AG134" s="388"/>
      <c r="AH134" s="388">
        <v>100000</v>
      </c>
      <c r="AI134" s="388"/>
      <c r="AJ134" s="388"/>
      <c r="AK134" s="438"/>
      <c r="AL134" s="436"/>
      <c r="AM134" s="881">
        <f t="shared" si="35"/>
        <v>100000</v>
      </c>
      <c r="AN134" s="386"/>
    </row>
    <row r="135" spans="1:40" s="379" customFormat="1" ht="21.75" thickBot="1" x14ac:dyDescent="0.4">
      <c r="A135" s="380" t="s">
        <v>26</v>
      </c>
      <c r="B135" s="1164">
        <v>3464</v>
      </c>
      <c r="C135" s="1156" t="s">
        <v>657</v>
      </c>
      <c r="D135" s="889" t="s">
        <v>653</v>
      </c>
      <c r="E135" s="383"/>
      <c r="F135" s="799"/>
      <c r="G135" s="799"/>
      <c r="H135" s="799"/>
      <c r="I135" s="383"/>
      <c r="J135" s="384"/>
      <c r="K135" s="1049"/>
      <c r="L135" s="385"/>
      <c r="M135" s="460"/>
      <c r="N135" s="385"/>
      <c r="O135" s="385"/>
      <c r="P135" s="385">
        <f>AG135-AL138</f>
        <v>1000</v>
      </c>
      <c r="Q135" s="385"/>
      <c r="R135" s="385"/>
      <c r="S135" s="385"/>
      <c r="T135" s="385"/>
      <c r="U135" s="837"/>
      <c r="V135" s="356"/>
      <c r="W135" s="356"/>
      <c r="X135" s="356"/>
      <c r="Y135" s="356"/>
      <c r="Z135" s="387"/>
      <c r="AA135" s="353"/>
      <c r="AB135" s="358"/>
      <c r="AC135" s="388"/>
      <c r="AD135" s="388"/>
      <c r="AE135" s="388"/>
      <c r="AF135" s="388"/>
      <c r="AG135" s="388">
        <v>1000</v>
      </c>
      <c r="AH135" s="388"/>
      <c r="AI135" s="388"/>
      <c r="AJ135" s="388"/>
      <c r="AK135" s="438"/>
      <c r="AL135" s="436"/>
      <c r="AM135" s="881">
        <f t="shared" si="35"/>
        <v>1000</v>
      </c>
      <c r="AN135" s="386"/>
    </row>
    <row r="136" spans="1:40" s="379" customFormat="1" ht="21.75" thickBot="1" x14ac:dyDescent="0.4">
      <c r="A136" s="850" t="s">
        <v>26</v>
      </c>
      <c r="B136" s="851">
        <v>3450</v>
      </c>
      <c r="C136" s="903" t="s">
        <v>652</v>
      </c>
      <c r="D136" s="863" t="s">
        <v>654</v>
      </c>
      <c r="E136" s="664"/>
      <c r="F136" s="798"/>
      <c r="G136" s="798"/>
      <c r="H136" s="798"/>
      <c r="I136" s="665"/>
      <c r="J136" s="666"/>
      <c r="K136" s="667">
        <f>AB136-AL136</f>
        <v>0</v>
      </c>
      <c r="L136" s="655"/>
      <c r="M136" s="1095"/>
      <c r="N136" s="655"/>
      <c r="O136" s="655"/>
      <c r="P136" s="655"/>
      <c r="Q136" s="655"/>
      <c r="R136" s="655"/>
      <c r="S136" s="655"/>
      <c r="T136" s="655"/>
      <c r="U136" s="1153"/>
      <c r="V136" s="665"/>
      <c r="W136" s="665"/>
      <c r="X136" s="665"/>
      <c r="Y136" s="665"/>
      <c r="Z136" s="686"/>
      <c r="AA136" s="666"/>
      <c r="AB136" s="1188">
        <v>500000</v>
      </c>
      <c r="AC136" s="655"/>
      <c r="AD136" s="655"/>
      <c r="AE136" s="655"/>
      <c r="AF136" s="655"/>
      <c r="AG136" s="655"/>
      <c r="AH136" s="655"/>
      <c r="AI136" s="655"/>
      <c r="AJ136" s="655"/>
      <c r="AK136" s="687"/>
      <c r="AL136" s="669">
        <v>500000</v>
      </c>
      <c r="AM136" s="1003">
        <f t="shared" si="35"/>
        <v>0</v>
      </c>
      <c r="AN136" s="852" t="s">
        <v>690</v>
      </c>
    </row>
    <row r="137" spans="1:40" s="379" customFormat="1" ht="21.75" thickBot="1" x14ac:dyDescent="0.4">
      <c r="A137" s="380" t="s">
        <v>26</v>
      </c>
      <c r="B137" s="1185">
        <v>3542</v>
      </c>
      <c r="C137" s="888">
        <v>45996</v>
      </c>
      <c r="D137" s="1186">
        <v>46203</v>
      </c>
      <c r="E137" s="383">
        <f t="shared" ref="E137" si="48">V137-AL137</f>
        <v>125000</v>
      </c>
      <c r="F137" s="799"/>
      <c r="G137" s="799"/>
      <c r="H137" s="799"/>
      <c r="I137" s="383"/>
      <c r="J137" s="384"/>
      <c r="K137" s="383"/>
      <c r="L137" s="385"/>
      <c r="M137" s="460"/>
      <c r="N137" s="385"/>
      <c r="O137" s="385"/>
      <c r="P137" s="385"/>
      <c r="Q137" s="385"/>
      <c r="R137" s="385"/>
      <c r="S137" s="385"/>
      <c r="T137" s="385"/>
      <c r="U137" s="837"/>
      <c r="V137" s="356">
        <v>125000</v>
      </c>
      <c r="W137" s="356"/>
      <c r="X137" s="356"/>
      <c r="Y137" s="356"/>
      <c r="Z137" s="387"/>
      <c r="AA137" s="353"/>
      <c r="AB137" s="1159"/>
      <c r="AC137" s="388"/>
      <c r="AD137" s="388"/>
      <c r="AE137" s="388"/>
      <c r="AF137" s="388"/>
      <c r="AG137" s="388"/>
      <c r="AH137" s="388"/>
      <c r="AI137" s="388"/>
      <c r="AJ137" s="388"/>
      <c r="AK137" s="438"/>
      <c r="AL137" s="436"/>
      <c r="AM137" s="881">
        <f t="shared" si="35"/>
        <v>125000</v>
      </c>
      <c r="AN137" s="386"/>
    </row>
    <row r="138" spans="1:40" s="381" customFormat="1" ht="21.75" thickBot="1" x14ac:dyDescent="0.4">
      <c r="A138" s="444" t="s">
        <v>26</v>
      </c>
      <c r="B138" s="445"/>
      <c r="C138" s="446"/>
      <c r="D138" s="485"/>
      <c r="E138" s="1189">
        <f t="shared" ref="E138:AK138" si="49">SUM(E78:E137)</f>
        <v>325000</v>
      </c>
      <c r="F138" s="448">
        <f t="shared" si="49"/>
        <v>90000</v>
      </c>
      <c r="G138" s="448">
        <f t="shared" si="49"/>
        <v>69540</v>
      </c>
      <c r="H138" s="448">
        <f t="shared" si="49"/>
        <v>60000</v>
      </c>
      <c r="I138" s="448">
        <f t="shared" si="49"/>
        <v>30000</v>
      </c>
      <c r="J138" s="448">
        <f t="shared" si="49"/>
        <v>249540</v>
      </c>
      <c r="K138" s="448">
        <f t="shared" si="49"/>
        <v>600000</v>
      </c>
      <c r="L138" s="448">
        <f t="shared" si="49"/>
        <v>124400</v>
      </c>
      <c r="M138" s="448">
        <f t="shared" si="49"/>
        <v>20000</v>
      </c>
      <c r="N138" s="448">
        <f t="shared" si="49"/>
        <v>4000</v>
      </c>
      <c r="O138" s="448">
        <f t="shared" si="49"/>
        <v>0</v>
      </c>
      <c r="P138" s="448">
        <f t="shared" si="49"/>
        <v>1000</v>
      </c>
      <c r="Q138" s="448">
        <f t="shared" si="49"/>
        <v>100000</v>
      </c>
      <c r="R138" s="448">
        <f t="shared" si="49"/>
        <v>0</v>
      </c>
      <c r="S138" s="448">
        <f t="shared" si="49"/>
        <v>0</v>
      </c>
      <c r="T138" s="448">
        <f t="shared" si="49"/>
        <v>0</v>
      </c>
      <c r="U138" s="837">
        <f t="shared" si="49"/>
        <v>0</v>
      </c>
      <c r="V138" s="448">
        <f t="shared" si="49"/>
        <v>1362500</v>
      </c>
      <c r="W138" s="448">
        <f t="shared" si="49"/>
        <v>129000</v>
      </c>
      <c r="X138" s="448">
        <f t="shared" si="49"/>
        <v>135990</v>
      </c>
      <c r="Y138" s="448">
        <f t="shared" si="49"/>
        <v>142740</v>
      </c>
      <c r="Z138" s="448">
        <f t="shared" si="49"/>
        <v>143940</v>
      </c>
      <c r="AA138" s="449">
        <f t="shared" si="49"/>
        <v>551670</v>
      </c>
      <c r="AB138" s="448">
        <f t="shared" si="49"/>
        <v>5410800</v>
      </c>
      <c r="AC138" s="448">
        <f t="shared" si="49"/>
        <v>500000</v>
      </c>
      <c r="AD138" s="448">
        <f t="shared" si="49"/>
        <v>70000</v>
      </c>
      <c r="AE138" s="448">
        <f t="shared" si="49"/>
        <v>44000</v>
      </c>
      <c r="AF138" s="448">
        <f t="shared" si="49"/>
        <v>9535</v>
      </c>
      <c r="AG138" s="448">
        <f t="shared" si="49"/>
        <v>1000</v>
      </c>
      <c r="AH138" s="448">
        <f t="shared" si="49"/>
        <v>177100</v>
      </c>
      <c r="AI138" s="448">
        <f t="shared" si="49"/>
        <v>0</v>
      </c>
      <c r="AJ138" s="448">
        <f t="shared" si="49"/>
        <v>0</v>
      </c>
      <c r="AK138" s="611">
        <f t="shared" si="49"/>
        <v>4860</v>
      </c>
      <c r="AL138" s="448"/>
      <c r="AM138" s="448">
        <f>SUM(AM78:AM137)</f>
        <v>1453940</v>
      </c>
      <c r="AN138" s="452"/>
    </row>
    <row r="139" spans="1:40" s="381" customFormat="1" ht="21.75" thickBot="1" x14ac:dyDescent="0.4">
      <c r="A139" s="675" t="s">
        <v>27</v>
      </c>
      <c r="B139" s="661">
        <v>3989</v>
      </c>
      <c r="C139" s="662" t="s">
        <v>151</v>
      </c>
      <c r="D139" s="672" t="s">
        <v>152</v>
      </c>
      <c r="E139" s="664">
        <v>0</v>
      </c>
      <c r="F139" s="798">
        <v>0</v>
      </c>
      <c r="G139" s="665">
        <v>0</v>
      </c>
      <c r="H139" s="665">
        <v>0</v>
      </c>
      <c r="I139" s="665">
        <f>Z139-AL139</f>
        <v>0</v>
      </c>
      <c r="J139" s="666">
        <f>SUM(F139:I139)</f>
        <v>0</v>
      </c>
      <c r="K139" s="667">
        <v>0</v>
      </c>
      <c r="L139" s="655">
        <v>0</v>
      </c>
      <c r="M139" s="655">
        <v>0</v>
      </c>
      <c r="N139" s="655">
        <v>0</v>
      </c>
      <c r="O139" s="655">
        <v>0</v>
      </c>
      <c r="P139" s="655">
        <v>0</v>
      </c>
      <c r="Q139" s="655">
        <v>0</v>
      </c>
      <c r="R139" s="655">
        <v>0</v>
      </c>
      <c r="S139" s="655">
        <v>0</v>
      </c>
      <c r="T139" s="655">
        <v>0</v>
      </c>
      <c r="U139" s="837"/>
      <c r="V139" s="678">
        <v>0</v>
      </c>
      <c r="W139" s="679">
        <v>0</v>
      </c>
      <c r="X139" s="679">
        <v>0</v>
      </c>
      <c r="Y139" s="679">
        <v>0</v>
      </c>
      <c r="Z139" s="665">
        <v>15930</v>
      </c>
      <c r="AA139" s="666">
        <f>SUM(W139:Z139)</f>
        <v>15930</v>
      </c>
      <c r="AB139" s="680">
        <v>0</v>
      </c>
      <c r="AC139" s="681">
        <v>0</v>
      </c>
      <c r="AD139" s="681">
        <v>0</v>
      </c>
      <c r="AE139" s="681">
        <v>0</v>
      </c>
      <c r="AF139" s="681">
        <v>0</v>
      </c>
      <c r="AG139" s="681">
        <v>0</v>
      </c>
      <c r="AH139" s="681">
        <v>0</v>
      </c>
      <c r="AI139" s="681">
        <v>0</v>
      </c>
      <c r="AJ139" s="681">
        <v>0</v>
      </c>
      <c r="AK139" s="786">
        <v>0</v>
      </c>
      <c r="AL139" s="669">
        <f>2160+13050+720</f>
        <v>15930</v>
      </c>
      <c r="AM139" s="670">
        <f>(V139+W139+X139+Y139+Z139+AB139+AC139+AD139+AE139+AF139+AG139+AH139+AI139+AJ139+AK139)-AL139</f>
        <v>0</v>
      </c>
      <c r="AN139" s="677" t="s">
        <v>270</v>
      </c>
    </row>
    <row r="140" spans="1:40" s="381" customFormat="1" ht="21.75" thickBot="1" x14ac:dyDescent="0.4">
      <c r="A140" s="996" t="s">
        <v>27</v>
      </c>
      <c r="B140" s="1008">
        <v>3987</v>
      </c>
      <c r="C140" s="1009" t="s">
        <v>151</v>
      </c>
      <c r="D140" s="1010" t="s">
        <v>152</v>
      </c>
      <c r="E140" s="991">
        <v>0</v>
      </c>
      <c r="F140" s="1000">
        <v>0</v>
      </c>
      <c r="G140" s="992">
        <v>0</v>
      </c>
      <c r="H140" s="992">
        <v>0</v>
      </c>
      <c r="I140" s="992">
        <v>0</v>
      </c>
      <c r="J140" s="666">
        <f>SUM(F140:I140)</f>
        <v>0</v>
      </c>
      <c r="K140" s="993">
        <v>0</v>
      </c>
      <c r="L140" s="994">
        <v>0</v>
      </c>
      <c r="M140" s="994">
        <v>0</v>
      </c>
      <c r="N140" s="994">
        <v>0</v>
      </c>
      <c r="O140" s="994">
        <f>AF140-AL140</f>
        <v>0</v>
      </c>
      <c r="P140" s="994">
        <v>0</v>
      </c>
      <c r="Q140" s="994">
        <v>0</v>
      </c>
      <c r="R140" s="994">
        <v>0</v>
      </c>
      <c r="S140" s="994">
        <v>0</v>
      </c>
      <c r="T140" s="994">
        <v>0</v>
      </c>
      <c r="U140" s="837"/>
      <c r="V140" s="991">
        <v>0</v>
      </c>
      <c r="W140" s="992">
        <v>0</v>
      </c>
      <c r="X140" s="992">
        <v>0</v>
      </c>
      <c r="Y140" s="992">
        <v>0</v>
      </c>
      <c r="Z140" s="992">
        <v>0</v>
      </c>
      <c r="AA140" s="992">
        <f>SUM(W140:Z140)</f>
        <v>0</v>
      </c>
      <c r="AB140" s="993">
        <v>0</v>
      </c>
      <c r="AC140" s="994">
        <v>0</v>
      </c>
      <c r="AD140" s="994">
        <v>0</v>
      </c>
      <c r="AE140" s="994">
        <v>0</v>
      </c>
      <c r="AF140" s="994">
        <v>2682</v>
      </c>
      <c r="AG140" s="994">
        <v>0</v>
      </c>
      <c r="AH140" s="994">
        <v>0</v>
      </c>
      <c r="AI140" s="994">
        <v>0</v>
      </c>
      <c r="AJ140" s="994">
        <v>0</v>
      </c>
      <c r="AK140" s="994">
        <v>0</v>
      </c>
      <c r="AL140" s="1091">
        <v>2682</v>
      </c>
      <c r="AM140" s="1092">
        <f>(V140+W140+X140+Y140+Z140+AB140+AC140+AD140+AE140+AF140+AG140+AH140+AI140+AJ140+AK140)-AL140</f>
        <v>0</v>
      </c>
      <c r="AN140" s="1093" t="s">
        <v>450</v>
      </c>
    </row>
    <row r="141" spans="1:40" s="381" customFormat="1" ht="21.75" thickBot="1" x14ac:dyDescent="0.4">
      <c r="A141" s="996" t="s">
        <v>27</v>
      </c>
      <c r="B141" s="1008">
        <v>4018</v>
      </c>
      <c r="C141" s="1009" t="s">
        <v>164</v>
      </c>
      <c r="D141" s="1010" t="s">
        <v>165</v>
      </c>
      <c r="E141" s="991">
        <f>V141-AL141</f>
        <v>0</v>
      </c>
      <c r="F141" s="1000"/>
      <c r="G141" s="992"/>
      <c r="H141" s="992"/>
      <c r="I141" s="992"/>
      <c r="J141" s="992">
        <f>SUM(F141:I141)</f>
        <v>0</v>
      </c>
      <c r="K141" s="993"/>
      <c r="L141" s="994"/>
      <c r="M141" s="994"/>
      <c r="N141" s="994"/>
      <c r="O141" s="994"/>
      <c r="P141" s="994"/>
      <c r="Q141" s="994"/>
      <c r="R141" s="994"/>
      <c r="S141" s="994"/>
      <c r="T141" s="994"/>
      <c r="U141" s="837"/>
      <c r="V141" s="991">
        <v>250000</v>
      </c>
      <c r="W141" s="992"/>
      <c r="X141" s="992"/>
      <c r="Y141" s="992"/>
      <c r="Z141" s="992"/>
      <c r="AA141" s="992"/>
      <c r="AB141" s="993"/>
      <c r="AC141" s="994"/>
      <c r="AD141" s="994"/>
      <c r="AE141" s="994"/>
      <c r="AF141" s="994"/>
      <c r="AG141" s="994"/>
      <c r="AH141" s="994"/>
      <c r="AI141" s="994"/>
      <c r="AJ141" s="994"/>
      <c r="AK141" s="994"/>
      <c r="AL141" s="1091">
        <f>215000+35000</f>
        <v>250000</v>
      </c>
      <c r="AM141" s="1092">
        <f>(V141+W141+X141+Y141+Z141+AB141+AC141+AD141+AE141+AF141+AG141+AH141+AI141+AJ141+AK141)-AL141</f>
        <v>0</v>
      </c>
      <c r="AN141" s="1093" t="s">
        <v>419</v>
      </c>
    </row>
    <row r="142" spans="1:40" s="381" customFormat="1" ht="21.75" thickBot="1" x14ac:dyDescent="0.4">
      <c r="A142" s="850" t="s">
        <v>27</v>
      </c>
      <c r="B142" s="846">
        <v>4049</v>
      </c>
      <c r="C142" s="847" t="s">
        <v>160</v>
      </c>
      <c r="D142" s="849" t="s">
        <v>163</v>
      </c>
      <c r="E142" s="664"/>
      <c r="F142" s="798"/>
      <c r="G142" s="665"/>
      <c r="H142" s="665"/>
      <c r="I142" s="665"/>
      <c r="J142" s="666"/>
      <c r="K142" s="667"/>
      <c r="L142" s="655"/>
      <c r="M142" s="655"/>
      <c r="N142" s="655"/>
      <c r="O142" s="655">
        <f>AF142-AL142</f>
        <v>0</v>
      </c>
      <c r="P142" s="655"/>
      <c r="Q142" s="655"/>
      <c r="R142" s="655"/>
      <c r="S142" s="655"/>
      <c r="T142" s="655"/>
      <c r="U142" s="837"/>
      <c r="V142" s="664"/>
      <c r="W142" s="665"/>
      <c r="X142" s="665"/>
      <c r="Y142" s="665"/>
      <c r="Z142" s="665"/>
      <c r="AA142" s="666"/>
      <c r="AB142" s="667"/>
      <c r="AC142" s="655"/>
      <c r="AD142" s="655"/>
      <c r="AE142" s="655"/>
      <c r="AF142" s="655">
        <v>8940</v>
      </c>
      <c r="AG142" s="655"/>
      <c r="AH142" s="655"/>
      <c r="AI142" s="655"/>
      <c r="AJ142" s="655"/>
      <c r="AK142" s="655"/>
      <c r="AL142" s="674">
        <v>8940</v>
      </c>
      <c r="AM142" s="791">
        <f>(V142+W142+X142+Y142+Z142+AB142+AC142+AD142+AE142+AF142+AG142+AH142+AI142+AJ142+AK142)-AL142</f>
        <v>0</v>
      </c>
      <c r="AN142" s="852" t="s">
        <v>300</v>
      </c>
    </row>
    <row r="143" spans="1:40" s="381" customFormat="1" ht="21.75" thickBot="1" x14ac:dyDescent="0.4">
      <c r="A143" s="660" t="s">
        <v>27</v>
      </c>
      <c r="B143" s="676">
        <v>4052</v>
      </c>
      <c r="C143" s="663" t="s">
        <v>180</v>
      </c>
      <c r="D143" s="672" t="s">
        <v>181</v>
      </c>
      <c r="E143" s="664"/>
      <c r="F143" s="798"/>
      <c r="G143" s="665"/>
      <c r="H143" s="665"/>
      <c r="I143" s="665"/>
      <c r="J143" s="666"/>
      <c r="K143" s="667"/>
      <c r="L143" s="654"/>
      <c r="M143" s="654"/>
      <c r="N143" s="654"/>
      <c r="O143" s="654"/>
      <c r="P143" s="654"/>
      <c r="Q143" s="654"/>
      <c r="R143" s="654"/>
      <c r="S143" s="654"/>
      <c r="T143" s="654"/>
      <c r="U143" s="837"/>
      <c r="V143" s="664"/>
      <c r="W143" s="665">
        <v>3500</v>
      </c>
      <c r="X143" s="665"/>
      <c r="Y143" s="665"/>
      <c r="Z143" s="665"/>
      <c r="AA143" s="666">
        <f>SUM(W143:Z143)</f>
        <v>3500</v>
      </c>
      <c r="AB143" s="667"/>
      <c r="AC143" s="654"/>
      <c r="AD143" s="654"/>
      <c r="AE143" s="654"/>
      <c r="AF143" s="654"/>
      <c r="AG143" s="654"/>
      <c r="AH143" s="654"/>
      <c r="AI143" s="654"/>
      <c r="AJ143" s="654"/>
      <c r="AK143" s="654"/>
      <c r="AL143" s="674">
        <f>3489+11</f>
        <v>3500</v>
      </c>
      <c r="AM143" s="670">
        <f>(V143+W143+X143+Y143+Z143+AB143+AC143+AD143+AE143+AF143+AG143+AH143+AI143+AJ143+AK143)-AL143</f>
        <v>0</v>
      </c>
      <c r="AN143" s="677" t="s">
        <v>475</v>
      </c>
    </row>
    <row r="144" spans="1:40" s="381" customFormat="1" ht="21.75" thickBot="1" x14ac:dyDescent="0.4">
      <c r="A144" s="404" t="s">
        <v>27</v>
      </c>
      <c r="B144" s="613">
        <v>4114</v>
      </c>
      <c r="C144" s="526" t="s">
        <v>197</v>
      </c>
      <c r="D144" s="422" t="s">
        <v>195</v>
      </c>
      <c r="E144" s="346"/>
      <c r="F144" s="804" t="s">
        <v>159</v>
      </c>
      <c r="G144" s="347" t="s">
        <v>159</v>
      </c>
      <c r="H144" s="347" t="s">
        <v>159</v>
      </c>
      <c r="I144" s="347">
        <f>Z144-AL144</f>
        <v>0</v>
      </c>
      <c r="J144" s="719">
        <f t="shared" ref="J144:J149" si="50">SUM(F144:I144)</f>
        <v>0</v>
      </c>
      <c r="K144" s="348">
        <v>0</v>
      </c>
      <c r="L144" s="405"/>
      <c r="M144" s="405"/>
      <c r="N144" s="405"/>
      <c r="O144" s="405"/>
      <c r="P144" s="405"/>
      <c r="Q144" s="405"/>
      <c r="R144" s="405"/>
      <c r="S144" s="405"/>
      <c r="T144" s="405"/>
      <c r="U144" s="837"/>
      <c r="V144" s="346"/>
      <c r="W144" s="347">
        <v>0</v>
      </c>
      <c r="X144" s="347"/>
      <c r="Y144" s="347"/>
      <c r="Z144" s="347">
        <v>21240</v>
      </c>
      <c r="AA144" s="719">
        <f t="shared" ref="AA144:AA149" si="51">SUM(W144:Z144)</f>
        <v>21240</v>
      </c>
      <c r="AB144" s="348"/>
      <c r="AC144" s="405"/>
      <c r="AD144" s="405"/>
      <c r="AE144" s="405"/>
      <c r="AF144" s="405"/>
      <c r="AG144" s="405"/>
      <c r="AH144" s="405"/>
      <c r="AI144" s="405"/>
      <c r="AJ144" s="405"/>
      <c r="AK144" s="405"/>
      <c r="AL144" s="349">
        <f>360+20880</f>
        <v>21240</v>
      </c>
      <c r="AM144" s="626">
        <f t="shared" ref="AM144:AM170" si="52">(V144+W144+X144+Y144+Z144+AB144+AC144+AD144+AE144+AF144+AG144+AH144+AI144+AJ144+AK144)-AL144</f>
        <v>0</v>
      </c>
      <c r="AN144" s="357" t="s">
        <v>214</v>
      </c>
    </row>
    <row r="145" spans="1:40" s="381" customFormat="1" ht="21.75" thickBot="1" x14ac:dyDescent="0.4">
      <c r="A145" s="846" t="s">
        <v>27</v>
      </c>
      <c r="B145" s="851">
        <v>4141</v>
      </c>
      <c r="C145" s="848" t="s">
        <v>200</v>
      </c>
      <c r="D145" s="868" t="s">
        <v>195</v>
      </c>
      <c r="E145" s="665"/>
      <c r="F145" s="798"/>
      <c r="G145" s="665"/>
      <c r="H145" s="665"/>
      <c r="I145" s="665"/>
      <c r="J145" s="666">
        <f t="shared" si="50"/>
        <v>0</v>
      </c>
      <c r="K145" s="667">
        <f t="shared" ref="K145:K151" si="53">AB145-AL145</f>
        <v>0</v>
      </c>
      <c r="L145" s="655"/>
      <c r="M145" s="655"/>
      <c r="N145" s="655"/>
      <c r="O145" s="655"/>
      <c r="P145" s="655"/>
      <c r="Q145" s="655"/>
      <c r="R145" s="655"/>
      <c r="S145" s="655"/>
      <c r="T145" s="655"/>
      <c r="U145" s="837"/>
      <c r="V145" s="665"/>
      <c r="W145" s="665"/>
      <c r="X145" s="665"/>
      <c r="Y145" s="665"/>
      <c r="Z145" s="665"/>
      <c r="AA145" s="666">
        <f t="shared" si="51"/>
        <v>0</v>
      </c>
      <c r="AB145" s="667">
        <v>1000000</v>
      </c>
      <c r="AC145" s="655"/>
      <c r="AD145" s="655"/>
      <c r="AE145" s="655"/>
      <c r="AF145" s="655"/>
      <c r="AG145" s="655"/>
      <c r="AH145" s="655"/>
      <c r="AI145" s="655"/>
      <c r="AJ145" s="655"/>
      <c r="AK145" s="790"/>
      <c r="AL145" s="669">
        <v>1000000</v>
      </c>
      <c r="AM145" s="869">
        <f t="shared" si="52"/>
        <v>0</v>
      </c>
      <c r="AN145" s="870" t="s">
        <v>299</v>
      </c>
    </row>
    <row r="146" spans="1:40" s="381" customFormat="1" ht="21.75" thickBot="1" x14ac:dyDescent="0.4">
      <c r="A146" s="846" t="s">
        <v>27</v>
      </c>
      <c r="B146" s="851">
        <v>4141</v>
      </c>
      <c r="C146" s="848" t="s">
        <v>200</v>
      </c>
      <c r="D146" s="868" t="s">
        <v>195</v>
      </c>
      <c r="E146" s="665"/>
      <c r="F146" s="798">
        <f>W146-AL146</f>
        <v>0</v>
      </c>
      <c r="G146" s="665"/>
      <c r="H146" s="665"/>
      <c r="I146" s="665"/>
      <c r="J146" s="666">
        <f t="shared" si="50"/>
        <v>0</v>
      </c>
      <c r="K146" s="667"/>
      <c r="L146" s="655"/>
      <c r="M146" s="655"/>
      <c r="N146" s="655"/>
      <c r="O146" s="655"/>
      <c r="P146" s="655"/>
      <c r="Q146" s="655"/>
      <c r="R146" s="655"/>
      <c r="S146" s="655"/>
      <c r="T146" s="655"/>
      <c r="U146" s="837"/>
      <c r="V146" s="665"/>
      <c r="W146" s="665">
        <v>25500</v>
      </c>
      <c r="X146" s="665"/>
      <c r="Y146" s="665"/>
      <c r="Z146" s="665"/>
      <c r="AA146" s="666">
        <f>SUM(W146:Z146)</f>
        <v>25500</v>
      </c>
      <c r="AB146" s="667"/>
      <c r="AC146" s="655"/>
      <c r="AD146" s="655"/>
      <c r="AE146" s="655"/>
      <c r="AF146" s="655"/>
      <c r="AG146" s="655"/>
      <c r="AH146" s="655"/>
      <c r="AI146" s="655"/>
      <c r="AJ146" s="655"/>
      <c r="AK146" s="790"/>
      <c r="AL146" s="669">
        <v>25500</v>
      </c>
      <c r="AM146" s="869">
        <f t="shared" si="52"/>
        <v>0</v>
      </c>
      <c r="AN146" s="870" t="s">
        <v>328</v>
      </c>
    </row>
    <row r="147" spans="1:40" s="381" customFormat="1" ht="21.75" thickBot="1" x14ac:dyDescent="0.4">
      <c r="A147" s="846" t="s">
        <v>27</v>
      </c>
      <c r="B147" s="851">
        <v>4141</v>
      </c>
      <c r="C147" s="848" t="s">
        <v>200</v>
      </c>
      <c r="D147" s="868" t="s">
        <v>195</v>
      </c>
      <c r="E147" s="665"/>
      <c r="F147" s="798"/>
      <c r="G147" s="665">
        <f>X147-AL147</f>
        <v>0</v>
      </c>
      <c r="H147" s="665"/>
      <c r="I147" s="665"/>
      <c r="J147" s="666">
        <f t="shared" si="50"/>
        <v>0</v>
      </c>
      <c r="K147" s="667"/>
      <c r="L147" s="655"/>
      <c r="M147" s="655"/>
      <c r="N147" s="655"/>
      <c r="O147" s="655"/>
      <c r="P147" s="655"/>
      <c r="Q147" s="655"/>
      <c r="R147" s="655"/>
      <c r="S147" s="655"/>
      <c r="T147" s="655"/>
      <c r="U147" s="837"/>
      <c r="V147" s="665"/>
      <c r="W147" s="665"/>
      <c r="X147" s="665">
        <v>24000</v>
      </c>
      <c r="Y147" s="665"/>
      <c r="Z147" s="665"/>
      <c r="AA147" s="666">
        <f t="shared" si="51"/>
        <v>24000</v>
      </c>
      <c r="AB147" s="667"/>
      <c r="AC147" s="655"/>
      <c r="AD147" s="655"/>
      <c r="AE147" s="655"/>
      <c r="AF147" s="655"/>
      <c r="AG147" s="655"/>
      <c r="AH147" s="655"/>
      <c r="AI147" s="655"/>
      <c r="AJ147" s="655"/>
      <c r="AK147" s="790"/>
      <c r="AL147" s="669">
        <v>24000</v>
      </c>
      <c r="AM147" s="869">
        <f t="shared" si="52"/>
        <v>0</v>
      </c>
      <c r="AN147" s="870" t="s">
        <v>329</v>
      </c>
    </row>
    <row r="148" spans="1:40" s="381" customFormat="1" ht="21.75" thickBot="1" x14ac:dyDescent="0.4">
      <c r="A148" s="846" t="s">
        <v>27</v>
      </c>
      <c r="B148" s="851">
        <v>4141</v>
      </c>
      <c r="C148" s="848" t="s">
        <v>200</v>
      </c>
      <c r="D148" s="868" t="s">
        <v>195</v>
      </c>
      <c r="E148" s="665"/>
      <c r="F148" s="798"/>
      <c r="G148" s="665"/>
      <c r="H148" s="665">
        <f>Y148-AL148</f>
        <v>0</v>
      </c>
      <c r="I148" s="665"/>
      <c r="J148" s="666">
        <f t="shared" si="50"/>
        <v>0</v>
      </c>
      <c r="K148" s="667"/>
      <c r="L148" s="655"/>
      <c r="M148" s="655"/>
      <c r="N148" s="655"/>
      <c r="O148" s="655"/>
      <c r="P148" s="655"/>
      <c r="Q148" s="655"/>
      <c r="R148" s="655"/>
      <c r="S148" s="655"/>
      <c r="T148" s="655"/>
      <c r="U148" s="837"/>
      <c r="V148" s="665"/>
      <c r="W148" s="665"/>
      <c r="X148" s="665"/>
      <c r="Y148" s="665">
        <v>19500</v>
      </c>
      <c r="Z148" s="665"/>
      <c r="AA148" s="666">
        <f t="shared" si="51"/>
        <v>19500</v>
      </c>
      <c r="AB148" s="667"/>
      <c r="AC148" s="655"/>
      <c r="AD148" s="655"/>
      <c r="AE148" s="655"/>
      <c r="AF148" s="655"/>
      <c r="AG148" s="655"/>
      <c r="AH148" s="655"/>
      <c r="AI148" s="655"/>
      <c r="AJ148" s="655"/>
      <c r="AK148" s="687"/>
      <c r="AL148" s="669">
        <v>19500</v>
      </c>
      <c r="AM148" s="869">
        <f t="shared" si="52"/>
        <v>0</v>
      </c>
      <c r="AN148" s="870" t="s">
        <v>330</v>
      </c>
    </row>
    <row r="149" spans="1:40" s="381" customFormat="1" ht="17.25" customHeight="1" thickBot="1" x14ac:dyDescent="0.4">
      <c r="A149" s="846" t="s">
        <v>27</v>
      </c>
      <c r="B149" s="851">
        <v>4141</v>
      </c>
      <c r="C149" s="848" t="s">
        <v>200</v>
      </c>
      <c r="D149" s="849" t="s">
        <v>195</v>
      </c>
      <c r="E149" s="664"/>
      <c r="F149" s="798"/>
      <c r="G149" s="665"/>
      <c r="H149" s="665"/>
      <c r="I149" s="665">
        <f>Z149-AL149</f>
        <v>0</v>
      </c>
      <c r="J149" s="666">
        <f t="shared" si="50"/>
        <v>0</v>
      </c>
      <c r="K149" s="667"/>
      <c r="L149" s="655"/>
      <c r="M149" s="655"/>
      <c r="N149" s="655"/>
      <c r="O149" s="655"/>
      <c r="P149" s="655"/>
      <c r="Q149" s="655"/>
      <c r="R149" s="655"/>
      <c r="S149" s="655"/>
      <c r="T149" s="655"/>
      <c r="U149" s="837"/>
      <c r="V149" s="665"/>
      <c r="W149" s="665"/>
      <c r="X149" s="665"/>
      <c r="Y149" s="665"/>
      <c r="Z149" s="665">
        <v>10500</v>
      </c>
      <c r="AA149" s="666">
        <f t="shared" si="51"/>
        <v>10500</v>
      </c>
      <c r="AB149" s="667"/>
      <c r="AC149" s="655"/>
      <c r="AD149" s="655"/>
      <c r="AE149" s="655"/>
      <c r="AF149" s="655"/>
      <c r="AG149" s="655"/>
      <c r="AH149" s="655"/>
      <c r="AI149" s="655"/>
      <c r="AJ149" s="655"/>
      <c r="AK149" s="687"/>
      <c r="AL149" s="669">
        <v>10500</v>
      </c>
      <c r="AM149" s="791">
        <f t="shared" si="52"/>
        <v>0</v>
      </c>
      <c r="AN149" s="870" t="s">
        <v>331</v>
      </c>
    </row>
    <row r="150" spans="1:40" s="381" customFormat="1" ht="18.75" customHeight="1" thickBot="1" x14ac:dyDescent="0.4">
      <c r="A150" s="693" t="s">
        <v>27</v>
      </c>
      <c r="B150" s="694">
        <v>4144</v>
      </c>
      <c r="C150" s="663" t="s">
        <v>205</v>
      </c>
      <c r="D150" s="672" t="s">
        <v>206</v>
      </c>
      <c r="E150" s="664"/>
      <c r="F150" s="798"/>
      <c r="G150" s="665"/>
      <c r="H150" s="665"/>
      <c r="I150" s="665"/>
      <c r="J150" s="666"/>
      <c r="K150" s="667">
        <f t="shared" si="53"/>
        <v>0</v>
      </c>
      <c r="L150" s="654"/>
      <c r="M150" s="654"/>
      <c r="N150" s="654"/>
      <c r="O150" s="654"/>
      <c r="P150" s="654"/>
      <c r="Q150" s="654"/>
      <c r="R150" s="654"/>
      <c r="S150" s="654"/>
      <c r="T150" s="654"/>
      <c r="U150" s="837"/>
      <c r="V150" s="665"/>
      <c r="W150" s="665"/>
      <c r="X150" s="665"/>
      <c r="Y150" s="665"/>
      <c r="Z150" s="665"/>
      <c r="AA150" s="666"/>
      <c r="AB150" s="667">
        <v>105000</v>
      </c>
      <c r="AC150" s="654"/>
      <c r="AD150" s="654"/>
      <c r="AE150" s="654"/>
      <c r="AF150" s="654"/>
      <c r="AG150" s="654"/>
      <c r="AH150" s="654"/>
      <c r="AI150" s="654"/>
      <c r="AJ150" s="654"/>
      <c r="AK150" s="668"/>
      <c r="AL150" s="669">
        <v>105000</v>
      </c>
      <c r="AM150" s="670">
        <f t="shared" si="52"/>
        <v>0</v>
      </c>
      <c r="AN150" s="695" t="s">
        <v>229</v>
      </c>
    </row>
    <row r="151" spans="1:40" s="381" customFormat="1" ht="21.75" thickBot="1" x14ac:dyDescent="0.4">
      <c r="A151" s="693" t="s">
        <v>27</v>
      </c>
      <c r="B151" s="694">
        <v>4147</v>
      </c>
      <c r="C151" s="663" t="s">
        <v>205</v>
      </c>
      <c r="D151" s="672" t="s">
        <v>203</v>
      </c>
      <c r="E151" s="664"/>
      <c r="F151" s="798"/>
      <c r="G151" s="665"/>
      <c r="H151" s="665"/>
      <c r="I151" s="665"/>
      <c r="J151" s="666"/>
      <c r="K151" s="667">
        <f t="shared" si="53"/>
        <v>0</v>
      </c>
      <c r="L151" s="654"/>
      <c r="M151" s="654"/>
      <c r="N151" s="654"/>
      <c r="O151" s="654"/>
      <c r="P151" s="654"/>
      <c r="Q151" s="654"/>
      <c r="R151" s="654"/>
      <c r="S151" s="654"/>
      <c r="T151" s="654"/>
      <c r="U151" s="837"/>
      <c r="V151" s="665"/>
      <c r="W151" s="665"/>
      <c r="X151" s="665"/>
      <c r="Y151" s="665"/>
      <c r="Z151" s="665"/>
      <c r="AA151" s="666"/>
      <c r="AB151" s="667">
        <v>150000</v>
      </c>
      <c r="AC151" s="654"/>
      <c r="AD151" s="654"/>
      <c r="AE151" s="654"/>
      <c r="AF151" s="654"/>
      <c r="AG151" s="654"/>
      <c r="AH151" s="654"/>
      <c r="AI151" s="654"/>
      <c r="AJ151" s="654"/>
      <c r="AK151" s="668"/>
      <c r="AL151" s="669">
        <v>150000</v>
      </c>
      <c r="AM151" s="670">
        <f t="shared" si="52"/>
        <v>0</v>
      </c>
      <c r="AN151" s="695" t="s">
        <v>230</v>
      </c>
    </row>
    <row r="152" spans="1:40" s="381" customFormat="1" ht="21.75" thickBot="1" x14ac:dyDescent="0.4">
      <c r="A152" s="693" t="s">
        <v>27</v>
      </c>
      <c r="B152" s="694">
        <v>4147</v>
      </c>
      <c r="C152" s="663" t="s">
        <v>205</v>
      </c>
      <c r="D152" s="672" t="s">
        <v>203</v>
      </c>
      <c r="E152" s="664"/>
      <c r="F152" s="798"/>
      <c r="G152" s="665"/>
      <c r="H152" s="665"/>
      <c r="I152" s="665"/>
      <c r="J152" s="666"/>
      <c r="K152" s="667"/>
      <c r="L152" s="654"/>
      <c r="M152" s="654"/>
      <c r="N152" s="654"/>
      <c r="O152" s="654"/>
      <c r="P152" s="654"/>
      <c r="Q152" s="654">
        <f>AH152-AL152</f>
        <v>0</v>
      </c>
      <c r="R152" s="654"/>
      <c r="S152" s="654"/>
      <c r="T152" s="654"/>
      <c r="U152" s="837"/>
      <c r="V152" s="665"/>
      <c r="W152" s="665"/>
      <c r="X152" s="665"/>
      <c r="Y152" s="665"/>
      <c r="Z152" s="665"/>
      <c r="AA152" s="666"/>
      <c r="AB152" s="667"/>
      <c r="AC152" s="654"/>
      <c r="AD152" s="654"/>
      <c r="AE152" s="654"/>
      <c r="AF152" s="654"/>
      <c r="AG152" s="654"/>
      <c r="AH152" s="654">
        <v>150000</v>
      </c>
      <c r="AI152" s="654"/>
      <c r="AJ152" s="654"/>
      <c r="AK152" s="668"/>
      <c r="AL152" s="669">
        <v>150000</v>
      </c>
      <c r="AM152" s="670">
        <f t="shared" si="52"/>
        <v>0</v>
      </c>
      <c r="AN152" s="695" t="s">
        <v>228</v>
      </c>
    </row>
    <row r="153" spans="1:40" s="381" customFormat="1" ht="21.75" thickBot="1" x14ac:dyDescent="0.4">
      <c r="A153" s="693" t="s">
        <v>27</v>
      </c>
      <c r="B153" s="694">
        <v>4148</v>
      </c>
      <c r="C153" s="663" t="s">
        <v>204</v>
      </c>
      <c r="D153" s="672" t="s">
        <v>203</v>
      </c>
      <c r="E153" s="664">
        <f>V153-AL153</f>
        <v>0</v>
      </c>
      <c r="F153" s="798"/>
      <c r="G153" s="665"/>
      <c r="H153" s="665"/>
      <c r="I153" s="665"/>
      <c r="J153" s="666"/>
      <c r="K153" s="667"/>
      <c r="L153" s="654"/>
      <c r="M153" s="654"/>
      <c r="N153" s="654"/>
      <c r="O153" s="654"/>
      <c r="P153" s="654"/>
      <c r="Q153" s="654"/>
      <c r="R153" s="654"/>
      <c r="S153" s="654"/>
      <c r="T153" s="654"/>
      <c r="U153" s="837"/>
      <c r="V153" s="665">
        <v>250000</v>
      </c>
      <c r="W153" s="665"/>
      <c r="X153" s="665"/>
      <c r="Y153" s="665"/>
      <c r="Z153" s="665"/>
      <c r="AA153" s="666"/>
      <c r="AB153" s="667"/>
      <c r="AC153" s="654"/>
      <c r="AD153" s="654"/>
      <c r="AE153" s="654"/>
      <c r="AF153" s="654"/>
      <c r="AG153" s="654"/>
      <c r="AH153" s="654"/>
      <c r="AI153" s="654"/>
      <c r="AJ153" s="654"/>
      <c r="AK153" s="668"/>
      <c r="AL153" s="669">
        <v>250000</v>
      </c>
      <c r="AM153" s="670">
        <f t="shared" si="52"/>
        <v>0</v>
      </c>
      <c r="AN153" s="695" t="s">
        <v>241</v>
      </c>
    </row>
    <row r="154" spans="1:40" s="381" customFormat="1" ht="21.75" thickBot="1" x14ac:dyDescent="0.4">
      <c r="A154" s="846" t="s">
        <v>27</v>
      </c>
      <c r="B154" s="851">
        <v>4149</v>
      </c>
      <c r="C154" s="848" t="s">
        <v>204</v>
      </c>
      <c r="D154" s="849" t="s">
        <v>203</v>
      </c>
      <c r="E154" s="664"/>
      <c r="F154" s="798"/>
      <c r="G154" s="665"/>
      <c r="H154" s="665"/>
      <c r="I154" s="665"/>
      <c r="J154" s="666"/>
      <c r="K154" s="667">
        <f>AB154-AL154</f>
        <v>0</v>
      </c>
      <c r="L154" s="655"/>
      <c r="M154" s="655"/>
      <c r="N154" s="655"/>
      <c r="O154" s="655"/>
      <c r="P154" s="655"/>
      <c r="Q154" s="655"/>
      <c r="R154" s="655"/>
      <c r="S154" s="655"/>
      <c r="T154" s="655"/>
      <c r="U154" s="837"/>
      <c r="V154" s="665"/>
      <c r="W154" s="665"/>
      <c r="X154" s="665"/>
      <c r="Y154" s="665"/>
      <c r="Z154" s="665"/>
      <c r="AA154" s="666"/>
      <c r="AB154" s="667">
        <v>435800</v>
      </c>
      <c r="AC154" s="655"/>
      <c r="AD154" s="655"/>
      <c r="AE154" s="655"/>
      <c r="AF154" s="655"/>
      <c r="AG154" s="655"/>
      <c r="AH154" s="655"/>
      <c r="AI154" s="655"/>
      <c r="AJ154" s="655"/>
      <c r="AK154" s="687"/>
      <c r="AL154" s="669">
        <v>435800</v>
      </c>
      <c r="AM154" s="791">
        <f t="shared" si="52"/>
        <v>0</v>
      </c>
      <c r="AN154" s="853" t="s">
        <v>297</v>
      </c>
    </row>
    <row r="155" spans="1:40" s="381" customFormat="1" ht="21.75" thickBot="1" x14ac:dyDescent="0.4">
      <c r="A155" s="846" t="s">
        <v>27</v>
      </c>
      <c r="B155" s="851">
        <v>4150</v>
      </c>
      <c r="C155" s="848" t="s">
        <v>208</v>
      </c>
      <c r="D155" s="849" t="s">
        <v>207</v>
      </c>
      <c r="E155" s="664"/>
      <c r="F155" s="798"/>
      <c r="G155" s="665"/>
      <c r="H155" s="665"/>
      <c r="I155" s="665"/>
      <c r="J155" s="666"/>
      <c r="K155" s="667"/>
      <c r="L155" s="655">
        <f>AC155-AL155</f>
        <v>0</v>
      </c>
      <c r="M155" s="655"/>
      <c r="N155" s="655"/>
      <c r="O155" s="655"/>
      <c r="P155" s="655"/>
      <c r="Q155" s="655"/>
      <c r="R155" s="655"/>
      <c r="S155" s="655"/>
      <c r="T155" s="655"/>
      <c r="U155" s="837"/>
      <c r="V155" s="665"/>
      <c r="W155" s="665"/>
      <c r="X155" s="665"/>
      <c r="Y155" s="665"/>
      <c r="Z155" s="665"/>
      <c r="AA155" s="666"/>
      <c r="AB155" s="667"/>
      <c r="AC155" s="655">
        <v>300000</v>
      </c>
      <c r="AD155" s="655"/>
      <c r="AE155" s="655"/>
      <c r="AF155" s="655"/>
      <c r="AG155" s="655"/>
      <c r="AH155" s="655"/>
      <c r="AI155" s="655"/>
      <c r="AJ155" s="655"/>
      <c r="AK155" s="687"/>
      <c r="AL155" s="669">
        <v>300000</v>
      </c>
      <c r="AM155" s="791">
        <f t="shared" si="52"/>
        <v>0</v>
      </c>
      <c r="AN155" s="853" t="s">
        <v>298</v>
      </c>
    </row>
    <row r="156" spans="1:40" s="381" customFormat="1" ht="21.75" thickBot="1" x14ac:dyDescent="0.4">
      <c r="A156" s="693" t="s">
        <v>27</v>
      </c>
      <c r="B156" s="694">
        <v>4156</v>
      </c>
      <c r="C156" s="663" t="s">
        <v>211</v>
      </c>
      <c r="D156" s="672" t="s">
        <v>207</v>
      </c>
      <c r="E156" s="664">
        <f>V156-AL156</f>
        <v>0</v>
      </c>
      <c r="F156" s="798"/>
      <c r="G156" s="665"/>
      <c r="H156" s="665"/>
      <c r="I156" s="665"/>
      <c r="J156" s="666"/>
      <c r="K156" s="667"/>
      <c r="L156" s="654"/>
      <c r="M156" s="654"/>
      <c r="N156" s="654"/>
      <c r="O156" s="654"/>
      <c r="P156" s="654"/>
      <c r="Q156" s="654"/>
      <c r="R156" s="654"/>
      <c r="S156" s="654"/>
      <c r="T156" s="654"/>
      <c r="U156" s="837"/>
      <c r="V156" s="665">
        <v>125000</v>
      </c>
      <c r="W156" s="665"/>
      <c r="X156" s="665"/>
      <c r="Y156" s="665"/>
      <c r="Z156" s="665"/>
      <c r="AA156" s="666"/>
      <c r="AB156" s="667"/>
      <c r="AC156" s="654"/>
      <c r="AD156" s="654"/>
      <c r="AE156" s="654"/>
      <c r="AF156" s="654"/>
      <c r="AG156" s="654"/>
      <c r="AH156" s="654"/>
      <c r="AI156" s="654"/>
      <c r="AJ156" s="654"/>
      <c r="AK156" s="668"/>
      <c r="AL156" s="669">
        <v>125000</v>
      </c>
      <c r="AM156" s="670">
        <f>(V156+W156+X156+Y156+Z156+AB156+AC156+AD156+AE156+AF156+AG156+AH156+AI156+AJ156+AK156)-AL156</f>
        <v>0</v>
      </c>
      <c r="AN156" s="695" t="s">
        <v>241</v>
      </c>
    </row>
    <row r="157" spans="1:40" s="381" customFormat="1" ht="21.75" thickBot="1" x14ac:dyDescent="0.4">
      <c r="A157" s="846" t="s">
        <v>27</v>
      </c>
      <c r="B157" s="851">
        <v>4179</v>
      </c>
      <c r="C157" s="848" t="s">
        <v>275</v>
      </c>
      <c r="D157" s="849" t="s">
        <v>276</v>
      </c>
      <c r="E157" s="664"/>
      <c r="F157" s="798">
        <f>W157-AL157</f>
        <v>0</v>
      </c>
      <c r="G157" s="665"/>
      <c r="H157" s="665"/>
      <c r="I157" s="665"/>
      <c r="J157" s="666">
        <f t="shared" ref="J157:J167" si="54">SUM(F157:I157)</f>
        <v>0</v>
      </c>
      <c r="K157" s="667"/>
      <c r="L157" s="655"/>
      <c r="M157" s="655"/>
      <c r="N157" s="655"/>
      <c r="O157" s="655"/>
      <c r="P157" s="655"/>
      <c r="Q157" s="655"/>
      <c r="R157" s="655"/>
      <c r="S157" s="655"/>
      <c r="T157" s="655"/>
      <c r="U157" s="837"/>
      <c r="V157" s="665"/>
      <c r="W157" s="665">
        <v>10500</v>
      </c>
      <c r="X157" s="665"/>
      <c r="Y157" s="665"/>
      <c r="Z157" s="665"/>
      <c r="AA157" s="666"/>
      <c r="AB157" s="667"/>
      <c r="AC157" s="655"/>
      <c r="AD157" s="655"/>
      <c r="AE157" s="655"/>
      <c r="AF157" s="655"/>
      <c r="AG157" s="655"/>
      <c r="AH157" s="655"/>
      <c r="AI157" s="655"/>
      <c r="AJ157" s="655"/>
      <c r="AK157" s="687"/>
      <c r="AL157" s="669">
        <f>1800+8700</f>
        <v>10500</v>
      </c>
      <c r="AM157" s="791">
        <f t="shared" si="52"/>
        <v>0</v>
      </c>
      <c r="AN157" s="853" t="s">
        <v>400</v>
      </c>
    </row>
    <row r="158" spans="1:40" s="381" customFormat="1" ht="21.75" thickBot="1" x14ac:dyDescent="0.4">
      <c r="A158" s="693" t="s">
        <v>27</v>
      </c>
      <c r="B158" s="694">
        <v>4179</v>
      </c>
      <c r="C158" s="848" t="s">
        <v>275</v>
      </c>
      <c r="D158" s="849" t="s">
        <v>276</v>
      </c>
      <c r="E158" s="664"/>
      <c r="F158" s="798"/>
      <c r="G158" s="665">
        <f>X158-AL158</f>
        <v>0</v>
      </c>
      <c r="H158" s="665"/>
      <c r="I158" s="665"/>
      <c r="J158" s="666">
        <f t="shared" si="54"/>
        <v>0</v>
      </c>
      <c r="K158" s="667"/>
      <c r="L158" s="654"/>
      <c r="M158" s="654"/>
      <c r="N158" s="654"/>
      <c r="O158" s="654"/>
      <c r="P158" s="654"/>
      <c r="Q158" s="654"/>
      <c r="R158" s="654"/>
      <c r="S158" s="654"/>
      <c r="T158" s="654"/>
      <c r="U158" s="837"/>
      <c r="V158" s="665"/>
      <c r="W158" s="665"/>
      <c r="X158" s="665">
        <v>17100</v>
      </c>
      <c r="Y158" s="665"/>
      <c r="Z158" s="665"/>
      <c r="AA158" s="666"/>
      <c r="AB158" s="667"/>
      <c r="AC158" s="654"/>
      <c r="AD158" s="654"/>
      <c r="AE158" s="654"/>
      <c r="AF158" s="654"/>
      <c r="AG158" s="654"/>
      <c r="AH158" s="654"/>
      <c r="AI158" s="654"/>
      <c r="AJ158" s="654"/>
      <c r="AK158" s="668"/>
      <c r="AL158" s="669">
        <v>17100</v>
      </c>
      <c r="AM158" s="670">
        <f t="shared" si="52"/>
        <v>0</v>
      </c>
      <c r="AN158" s="853" t="s">
        <v>352</v>
      </c>
    </row>
    <row r="159" spans="1:40" s="381" customFormat="1" ht="21.75" thickBot="1" x14ac:dyDescent="0.4">
      <c r="A159" s="846" t="s">
        <v>27</v>
      </c>
      <c r="B159" s="851">
        <v>4179</v>
      </c>
      <c r="C159" s="848" t="s">
        <v>275</v>
      </c>
      <c r="D159" s="849" t="s">
        <v>276</v>
      </c>
      <c r="E159" s="664"/>
      <c r="F159" s="798"/>
      <c r="G159" s="665"/>
      <c r="H159" s="665">
        <f>Y159-AL159</f>
        <v>0</v>
      </c>
      <c r="I159" s="665"/>
      <c r="J159" s="665">
        <f t="shared" si="54"/>
        <v>0</v>
      </c>
      <c r="K159" s="667"/>
      <c r="L159" s="655"/>
      <c r="M159" s="655"/>
      <c r="N159" s="655"/>
      <c r="O159" s="655"/>
      <c r="P159" s="655"/>
      <c r="Q159" s="655"/>
      <c r="R159" s="655"/>
      <c r="S159" s="655"/>
      <c r="T159" s="655"/>
      <c r="U159" s="837"/>
      <c r="V159" s="665"/>
      <c r="W159" s="665"/>
      <c r="X159" s="665"/>
      <c r="Y159" s="665">
        <v>19650</v>
      </c>
      <c r="Z159" s="665"/>
      <c r="AA159" s="665"/>
      <c r="AB159" s="667"/>
      <c r="AC159" s="655"/>
      <c r="AD159" s="655"/>
      <c r="AE159" s="655"/>
      <c r="AF159" s="655"/>
      <c r="AG159" s="655"/>
      <c r="AH159" s="655"/>
      <c r="AI159" s="655"/>
      <c r="AJ159" s="655"/>
      <c r="AK159" s="687"/>
      <c r="AL159" s="669">
        <f>8220+9990+1440</f>
        <v>19650</v>
      </c>
      <c r="AM159" s="791">
        <f t="shared" si="52"/>
        <v>0</v>
      </c>
      <c r="AN159" s="853" t="s">
        <v>553</v>
      </c>
    </row>
    <row r="160" spans="1:40" s="381" customFormat="1" ht="21.75" thickBot="1" x14ac:dyDescent="0.4">
      <c r="A160" s="693" t="s">
        <v>27</v>
      </c>
      <c r="B160" s="694">
        <v>4179</v>
      </c>
      <c r="C160" s="848" t="s">
        <v>275</v>
      </c>
      <c r="D160" s="849" t="s">
        <v>276</v>
      </c>
      <c r="E160" s="664"/>
      <c r="F160" s="798"/>
      <c r="G160" s="665"/>
      <c r="H160" s="665"/>
      <c r="I160" s="665">
        <f>Z160-AL160</f>
        <v>0</v>
      </c>
      <c r="J160" s="666">
        <f t="shared" si="54"/>
        <v>0</v>
      </c>
      <c r="K160" s="667"/>
      <c r="L160" s="654"/>
      <c r="M160" s="654"/>
      <c r="N160" s="654"/>
      <c r="O160" s="654"/>
      <c r="P160" s="654"/>
      <c r="Q160" s="654"/>
      <c r="R160" s="654"/>
      <c r="S160" s="654"/>
      <c r="T160" s="654"/>
      <c r="U160" s="837"/>
      <c r="V160" s="665"/>
      <c r="W160" s="665"/>
      <c r="X160" s="665"/>
      <c r="Y160" s="665"/>
      <c r="Z160" s="665">
        <v>16950</v>
      </c>
      <c r="AA160" s="666"/>
      <c r="AB160" s="667"/>
      <c r="AC160" s="654"/>
      <c r="AD160" s="654"/>
      <c r="AE160" s="654"/>
      <c r="AF160" s="654"/>
      <c r="AG160" s="654"/>
      <c r="AH160" s="654"/>
      <c r="AI160" s="654"/>
      <c r="AJ160" s="654"/>
      <c r="AK160" s="668"/>
      <c r="AL160" s="669">
        <v>16950</v>
      </c>
      <c r="AM160" s="670">
        <f t="shared" si="52"/>
        <v>0</v>
      </c>
      <c r="AN160" s="853" t="s">
        <v>352</v>
      </c>
    </row>
    <row r="161" spans="1:40" s="883" customFormat="1" ht="21.75" thickBot="1" x14ac:dyDescent="0.4">
      <c r="A161" s="693" t="s">
        <v>27</v>
      </c>
      <c r="B161" s="694">
        <v>4193</v>
      </c>
      <c r="C161" s="1099" t="s">
        <v>321</v>
      </c>
      <c r="D161" s="972" t="s">
        <v>323</v>
      </c>
      <c r="E161" s="973"/>
      <c r="F161" s="968">
        <f>W161-AL161</f>
        <v>0</v>
      </c>
      <c r="G161" s="959"/>
      <c r="H161" s="959"/>
      <c r="I161" s="959"/>
      <c r="J161" s="666">
        <f t="shared" si="54"/>
        <v>0</v>
      </c>
      <c r="K161" s="961"/>
      <c r="L161" s="962"/>
      <c r="M161" s="962"/>
      <c r="N161" s="962"/>
      <c r="O161" s="962"/>
      <c r="P161" s="962"/>
      <c r="Q161" s="962"/>
      <c r="R161" s="962"/>
      <c r="S161" s="962"/>
      <c r="T161" s="962"/>
      <c r="U161" s="837"/>
      <c r="V161" s="959"/>
      <c r="W161" s="959">
        <v>28500</v>
      </c>
      <c r="X161" s="959"/>
      <c r="Y161" s="959"/>
      <c r="Z161" s="959"/>
      <c r="AA161" s="959"/>
      <c r="AB161" s="961"/>
      <c r="AC161" s="962"/>
      <c r="AD161" s="962"/>
      <c r="AE161" s="962"/>
      <c r="AF161" s="962"/>
      <c r="AG161" s="962"/>
      <c r="AH161" s="962"/>
      <c r="AI161" s="962"/>
      <c r="AJ161" s="962"/>
      <c r="AK161" s="1100"/>
      <c r="AL161" s="965">
        <v>28500</v>
      </c>
      <c r="AM161" s="966">
        <f t="shared" si="52"/>
        <v>0</v>
      </c>
      <c r="AN161" s="1101" t="s">
        <v>496</v>
      </c>
    </row>
    <row r="162" spans="1:40" s="381" customFormat="1" ht="21.75" thickBot="1" x14ac:dyDescent="0.4">
      <c r="A162" s="693" t="s">
        <v>27</v>
      </c>
      <c r="B162" s="694">
        <v>4193</v>
      </c>
      <c r="C162" s="1099" t="s">
        <v>321</v>
      </c>
      <c r="D162" s="972" t="s">
        <v>323</v>
      </c>
      <c r="E162" s="973"/>
      <c r="F162" s="968"/>
      <c r="G162" s="959">
        <f>X162-AL162</f>
        <v>0</v>
      </c>
      <c r="H162" s="959"/>
      <c r="I162" s="959"/>
      <c r="J162" s="666">
        <f t="shared" si="54"/>
        <v>0</v>
      </c>
      <c r="K162" s="961"/>
      <c r="L162" s="962"/>
      <c r="M162" s="962"/>
      <c r="N162" s="962"/>
      <c r="O162" s="962"/>
      <c r="P162" s="962"/>
      <c r="Q162" s="962"/>
      <c r="R162" s="962"/>
      <c r="S162" s="962"/>
      <c r="T162" s="962"/>
      <c r="U162" s="837"/>
      <c r="V162" s="959"/>
      <c r="W162" s="959"/>
      <c r="X162" s="959">
        <v>27750</v>
      </c>
      <c r="Y162" s="959"/>
      <c r="Z162" s="959"/>
      <c r="AA162" s="959"/>
      <c r="AB162" s="961"/>
      <c r="AC162" s="962"/>
      <c r="AD162" s="962"/>
      <c r="AE162" s="962"/>
      <c r="AF162" s="962"/>
      <c r="AG162" s="962"/>
      <c r="AH162" s="962"/>
      <c r="AI162" s="962"/>
      <c r="AJ162" s="962"/>
      <c r="AK162" s="1100"/>
      <c r="AL162" s="965">
        <v>27750</v>
      </c>
      <c r="AM162" s="966">
        <f t="shared" si="52"/>
        <v>0</v>
      </c>
      <c r="AN162" s="1101" t="s">
        <v>496</v>
      </c>
    </row>
    <row r="163" spans="1:40" s="381" customFormat="1" ht="21.75" thickBot="1" x14ac:dyDescent="0.4">
      <c r="A163" s="693" t="s">
        <v>27</v>
      </c>
      <c r="B163" s="694">
        <v>4193</v>
      </c>
      <c r="C163" s="1099" t="s">
        <v>321</v>
      </c>
      <c r="D163" s="972" t="s">
        <v>323</v>
      </c>
      <c r="E163" s="973"/>
      <c r="F163" s="968"/>
      <c r="G163" s="959"/>
      <c r="H163" s="959">
        <f>Y163-AL163</f>
        <v>0</v>
      </c>
      <c r="I163" s="959"/>
      <c r="J163" s="666">
        <f t="shared" si="54"/>
        <v>0</v>
      </c>
      <c r="K163" s="961"/>
      <c r="L163" s="962"/>
      <c r="M163" s="962"/>
      <c r="N163" s="962"/>
      <c r="O163" s="962"/>
      <c r="P163" s="962"/>
      <c r="Q163" s="962"/>
      <c r="R163" s="962"/>
      <c r="S163" s="962"/>
      <c r="T163" s="962"/>
      <c r="U163" s="837"/>
      <c r="V163" s="959"/>
      <c r="W163" s="959"/>
      <c r="X163" s="959"/>
      <c r="Y163" s="959">
        <v>27810</v>
      </c>
      <c r="Z163" s="959"/>
      <c r="AA163" s="959"/>
      <c r="AB163" s="961"/>
      <c r="AC163" s="962"/>
      <c r="AD163" s="962"/>
      <c r="AE163" s="962"/>
      <c r="AF163" s="962"/>
      <c r="AG163" s="962"/>
      <c r="AH163" s="962"/>
      <c r="AI163" s="962"/>
      <c r="AJ163" s="962"/>
      <c r="AK163" s="1100"/>
      <c r="AL163" s="965">
        <v>27810</v>
      </c>
      <c r="AM163" s="966">
        <f t="shared" si="52"/>
        <v>0</v>
      </c>
      <c r="AN163" s="1101" t="s">
        <v>496</v>
      </c>
    </row>
    <row r="164" spans="1:40" s="381" customFormat="1" ht="21.75" thickBot="1" x14ac:dyDescent="0.4">
      <c r="A164" s="693" t="s">
        <v>27</v>
      </c>
      <c r="B164" s="694">
        <v>4193</v>
      </c>
      <c r="C164" s="1099" t="s">
        <v>321</v>
      </c>
      <c r="D164" s="972" t="s">
        <v>323</v>
      </c>
      <c r="E164" s="973"/>
      <c r="F164" s="968"/>
      <c r="G164" s="959"/>
      <c r="H164" s="959"/>
      <c r="I164" s="959">
        <f>Z164-AL164</f>
        <v>0</v>
      </c>
      <c r="J164" s="666">
        <f t="shared" si="54"/>
        <v>0</v>
      </c>
      <c r="K164" s="961"/>
      <c r="L164" s="962"/>
      <c r="M164" s="962"/>
      <c r="N164" s="962"/>
      <c r="O164" s="962"/>
      <c r="P164" s="962"/>
      <c r="Q164" s="962"/>
      <c r="R164" s="962"/>
      <c r="S164" s="962"/>
      <c r="T164" s="962"/>
      <c r="U164" s="837"/>
      <c r="V164" s="959"/>
      <c r="W164" s="959"/>
      <c r="X164" s="959"/>
      <c r="Y164" s="959"/>
      <c r="Z164" s="959">
        <v>37500</v>
      </c>
      <c r="AA164" s="959"/>
      <c r="AB164" s="961"/>
      <c r="AC164" s="962"/>
      <c r="AD164" s="962"/>
      <c r="AE164" s="962"/>
      <c r="AF164" s="962"/>
      <c r="AG164" s="962"/>
      <c r="AH164" s="962"/>
      <c r="AI164" s="962"/>
      <c r="AJ164" s="962"/>
      <c r="AK164" s="1100"/>
      <c r="AL164" s="965">
        <v>37500</v>
      </c>
      <c r="AM164" s="966">
        <f t="shared" si="52"/>
        <v>0</v>
      </c>
      <c r="AN164" s="1101" t="s">
        <v>496</v>
      </c>
    </row>
    <row r="165" spans="1:40" s="381" customFormat="1" ht="21.75" thickBot="1" x14ac:dyDescent="0.4">
      <c r="A165" s="846" t="s">
        <v>27</v>
      </c>
      <c r="B165" s="851">
        <v>4194</v>
      </c>
      <c r="C165" s="848" t="s">
        <v>321</v>
      </c>
      <c r="D165" s="849" t="s">
        <v>323</v>
      </c>
      <c r="E165" s="664"/>
      <c r="F165" s="798"/>
      <c r="G165" s="665"/>
      <c r="H165" s="665"/>
      <c r="I165" s="665"/>
      <c r="J165" s="666">
        <f t="shared" si="54"/>
        <v>0</v>
      </c>
      <c r="K165" s="667"/>
      <c r="L165" s="655"/>
      <c r="M165" s="655">
        <f>AD165-AL165</f>
        <v>0</v>
      </c>
      <c r="N165" s="655"/>
      <c r="O165" s="655"/>
      <c r="P165" s="655"/>
      <c r="Q165" s="655"/>
      <c r="R165" s="655"/>
      <c r="S165" s="655"/>
      <c r="T165" s="655"/>
      <c r="U165" s="837"/>
      <c r="V165" s="665"/>
      <c r="W165" s="665"/>
      <c r="X165" s="665"/>
      <c r="Y165" s="665"/>
      <c r="Z165" s="665"/>
      <c r="AA165" s="666"/>
      <c r="AB165" s="667"/>
      <c r="AC165" s="655"/>
      <c r="AD165" s="655">
        <v>30000</v>
      </c>
      <c r="AE165" s="655"/>
      <c r="AF165" s="655"/>
      <c r="AG165" s="655"/>
      <c r="AH165" s="655"/>
      <c r="AI165" s="655"/>
      <c r="AJ165" s="655"/>
      <c r="AK165" s="687"/>
      <c r="AL165" s="669">
        <v>30000</v>
      </c>
      <c r="AM165" s="791">
        <f t="shared" si="52"/>
        <v>0</v>
      </c>
      <c r="AN165" s="853" t="s">
        <v>401</v>
      </c>
    </row>
    <row r="166" spans="1:40" s="381" customFormat="1" ht="21.75" thickBot="1" x14ac:dyDescent="0.4">
      <c r="A166" s="846" t="s">
        <v>27</v>
      </c>
      <c r="B166" s="851">
        <v>4194</v>
      </c>
      <c r="C166" s="848" t="s">
        <v>321</v>
      </c>
      <c r="D166" s="849" t="s">
        <v>323</v>
      </c>
      <c r="E166" s="664"/>
      <c r="F166" s="798"/>
      <c r="G166" s="665"/>
      <c r="H166" s="665"/>
      <c r="I166" s="665"/>
      <c r="J166" s="666">
        <f t="shared" si="54"/>
        <v>0</v>
      </c>
      <c r="K166" s="667"/>
      <c r="L166" s="655"/>
      <c r="M166" s="655"/>
      <c r="N166" s="655">
        <f>AE166-AL166</f>
        <v>0</v>
      </c>
      <c r="O166" s="655"/>
      <c r="P166" s="655"/>
      <c r="Q166" s="655"/>
      <c r="R166" s="655"/>
      <c r="S166" s="655"/>
      <c r="T166" s="655"/>
      <c r="U166" s="837"/>
      <c r="V166" s="665"/>
      <c r="W166" s="665"/>
      <c r="X166" s="665"/>
      <c r="Y166" s="665"/>
      <c r="Z166" s="665"/>
      <c r="AA166" s="666"/>
      <c r="AB166" s="667"/>
      <c r="AC166" s="655"/>
      <c r="AD166" s="655"/>
      <c r="AE166" s="655">
        <v>30000</v>
      </c>
      <c r="AF166" s="655"/>
      <c r="AG166" s="655"/>
      <c r="AH166" s="655"/>
      <c r="AI166" s="655"/>
      <c r="AJ166" s="655"/>
      <c r="AK166" s="687"/>
      <c r="AL166" s="669">
        <v>30000</v>
      </c>
      <c r="AM166" s="791">
        <f t="shared" si="52"/>
        <v>0</v>
      </c>
      <c r="AN166" s="853" t="s">
        <v>402</v>
      </c>
    </row>
    <row r="167" spans="1:40" s="381" customFormat="1" ht="21.75" thickBot="1" x14ac:dyDescent="0.4">
      <c r="A167" s="846" t="s">
        <v>27</v>
      </c>
      <c r="B167" s="851">
        <v>4195</v>
      </c>
      <c r="C167" s="848" t="s">
        <v>321</v>
      </c>
      <c r="D167" s="849" t="s">
        <v>323</v>
      </c>
      <c r="E167" s="664">
        <f>V167-AL167</f>
        <v>0</v>
      </c>
      <c r="F167" s="798"/>
      <c r="G167" s="665"/>
      <c r="H167" s="665"/>
      <c r="I167" s="665"/>
      <c r="J167" s="666">
        <f t="shared" si="54"/>
        <v>0</v>
      </c>
      <c r="K167" s="667"/>
      <c r="L167" s="655"/>
      <c r="M167" s="655"/>
      <c r="N167" s="655"/>
      <c r="O167" s="655"/>
      <c r="P167" s="655"/>
      <c r="Q167" s="655"/>
      <c r="R167" s="655"/>
      <c r="S167" s="655"/>
      <c r="T167" s="655"/>
      <c r="U167" s="837"/>
      <c r="V167" s="665">
        <v>125000</v>
      </c>
      <c r="W167" s="665"/>
      <c r="X167" s="665"/>
      <c r="Y167" s="665"/>
      <c r="Z167" s="665"/>
      <c r="AA167" s="665"/>
      <c r="AB167" s="667"/>
      <c r="AC167" s="655"/>
      <c r="AD167" s="655"/>
      <c r="AE167" s="655"/>
      <c r="AF167" s="655"/>
      <c r="AG167" s="655"/>
      <c r="AH167" s="655"/>
      <c r="AI167" s="655"/>
      <c r="AJ167" s="655"/>
      <c r="AK167" s="687"/>
      <c r="AL167" s="669">
        <v>125000</v>
      </c>
      <c r="AM167" s="791">
        <f t="shared" si="52"/>
        <v>0</v>
      </c>
      <c r="AN167" s="853" t="s">
        <v>491</v>
      </c>
    </row>
    <row r="168" spans="1:40" s="381" customFormat="1" ht="21.75" thickBot="1" x14ac:dyDescent="0.4">
      <c r="A168" s="846" t="s">
        <v>27</v>
      </c>
      <c r="B168" s="851">
        <v>4199</v>
      </c>
      <c r="C168" s="848" t="s">
        <v>375</v>
      </c>
      <c r="D168" s="849" t="s">
        <v>377</v>
      </c>
      <c r="E168" s="664">
        <f>V168-AL168</f>
        <v>0</v>
      </c>
      <c r="F168" s="798"/>
      <c r="G168" s="665"/>
      <c r="H168" s="665"/>
      <c r="I168" s="665"/>
      <c r="J168" s="666"/>
      <c r="K168" s="667"/>
      <c r="L168" s="655"/>
      <c r="M168" s="655"/>
      <c r="N168" s="655"/>
      <c r="O168" s="655"/>
      <c r="P168" s="655"/>
      <c r="Q168" s="655"/>
      <c r="R168" s="655"/>
      <c r="S168" s="655"/>
      <c r="T168" s="655"/>
      <c r="U168" s="837"/>
      <c r="V168" s="665">
        <v>125000</v>
      </c>
      <c r="W168" s="665"/>
      <c r="X168" s="665"/>
      <c r="Y168" s="665"/>
      <c r="Z168" s="665"/>
      <c r="AA168" s="665"/>
      <c r="AB168" s="667"/>
      <c r="AC168" s="655"/>
      <c r="AD168" s="655"/>
      <c r="AE168" s="655"/>
      <c r="AF168" s="655"/>
      <c r="AG168" s="655"/>
      <c r="AH168" s="655"/>
      <c r="AI168" s="655"/>
      <c r="AJ168" s="655"/>
      <c r="AK168" s="687"/>
      <c r="AL168" s="669">
        <v>125000</v>
      </c>
      <c r="AM168" s="791">
        <f t="shared" si="52"/>
        <v>0</v>
      </c>
      <c r="AN168" s="853" t="s">
        <v>492</v>
      </c>
    </row>
    <row r="169" spans="1:40" s="381" customFormat="1" ht="21.75" thickBot="1" x14ac:dyDescent="0.4">
      <c r="A169" s="693" t="s">
        <v>27</v>
      </c>
      <c r="B169" s="846">
        <v>4208</v>
      </c>
      <c r="C169" s="903" t="s">
        <v>411</v>
      </c>
      <c r="D169" s="863" t="s">
        <v>322</v>
      </c>
      <c r="E169" s="1000"/>
      <c r="F169" s="798"/>
      <c r="G169" s="665"/>
      <c r="H169" s="665"/>
      <c r="I169" s="665"/>
      <c r="J169" s="666"/>
      <c r="K169" s="667"/>
      <c r="L169" s="655"/>
      <c r="M169" s="655">
        <f>AD169-AL169</f>
        <v>0</v>
      </c>
      <c r="N169" s="655"/>
      <c r="O169" s="655"/>
      <c r="P169" s="655"/>
      <c r="Q169" s="655"/>
      <c r="R169" s="655"/>
      <c r="S169" s="655"/>
      <c r="T169" s="655"/>
      <c r="U169" s="837"/>
      <c r="V169" s="665"/>
      <c r="W169" s="665"/>
      <c r="X169" s="665"/>
      <c r="Y169" s="665"/>
      <c r="Z169" s="686"/>
      <c r="AA169" s="666"/>
      <c r="AB169" s="667"/>
      <c r="AC169" s="655"/>
      <c r="AD169" s="655">
        <v>20000</v>
      </c>
      <c r="AE169" s="655"/>
      <c r="AF169" s="655"/>
      <c r="AG169" s="655"/>
      <c r="AH169" s="655"/>
      <c r="AI169" s="655"/>
      <c r="AJ169" s="655"/>
      <c r="AK169" s="668"/>
      <c r="AL169" s="669">
        <v>20000</v>
      </c>
      <c r="AM169" s="670">
        <f t="shared" si="52"/>
        <v>0</v>
      </c>
      <c r="AN169" s="879" t="s">
        <v>504</v>
      </c>
    </row>
    <row r="170" spans="1:40" s="381" customFormat="1" ht="21.75" thickBot="1" x14ac:dyDescent="0.4">
      <c r="A170" s="693" t="s">
        <v>27</v>
      </c>
      <c r="B170" s="846">
        <v>4207</v>
      </c>
      <c r="C170" s="903" t="s">
        <v>410</v>
      </c>
      <c r="D170" s="863" t="s">
        <v>322</v>
      </c>
      <c r="E170" s="1000"/>
      <c r="F170" s="798"/>
      <c r="G170" s="665"/>
      <c r="H170" s="665"/>
      <c r="I170" s="665"/>
      <c r="J170" s="666"/>
      <c r="K170" s="667"/>
      <c r="L170" s="655"/>
      <c r="M170" s="655"/>
      <c r="N170" s="655">
        <f>AE170-AL170</f>
        <v>0</v>
      </c>
      <c r="O170" s="655"/>
      <c r="P170" s="655"/>
      <c r="Q170" s="655"/>
      <c r="R170" s="655"/>
      <c r="S170" s="655"/>
      <c r="T170" s="655"/>
      <c r="U170" s="1153"/>
      <c r="V170" s="665"/>
      <c r="W170" s="665"/>
      <c r="X170" s="665"/>
      <c r="Y170" s="665"/>
      <c r="Z170" s="686"/>
      <c r="AA170" s="666"/>
      <c r="AB170" s="667"/>
      <c r="AC170" s="655"/>
      <c r="AD170" s="655"/>
      <c r="AE170" s="655">
        <v>20000</v>
      </c>
      <c r="AF170" s="655"/>
      <c r="AG170" s="655"/>
      <c r="AH170" s="655"/>
      <c r="AI170" s="655"/>
      <c r="AJ170" s="655"/>
      <c r="AK170" s="668"/>
      <c r="AL170" s="669">
        <v>20000</v>
      </c>
      <c r="AM170" s="670">
        <f t="shared" si="52"/>
        <v>0</v>
      </c>
      <c r="AN170" s="879" t="s">
        <v>457</v>
      </c>
    </row>
    <row r="171" spans="1:40" s="381" customFormat="1" ht="21.75" thickBot="1" x14ac:dyDescent="0.4">
      <c r="A171" s="846" t="s">
        <v>27</v>
      </c>
      <c r="B171" s="851">
        <v>4213</v>
      </c>
      <c r="C171" s="848" t="s">
        <v>444</v>
      </c>
      <c r="D171" s="849" t="s">
        <v>445</v>
      </c>
      <c r="E171" s="664">
        <f>V171-AL171</f>
        <v>0</v>
      </c>
      <c r="F171" s="798"/>
      <c r="G171" s="665"/>
      <c r="H171" s="665"/>
      <c r="I171" s="665"/>
      <c r="J171" s="665">
        <f>SUM(F171:I171)</f>
        <v>0</v>
      </c>
      <c r="K171" s="667"/>
      <c r="L171" s="655"/>
      <c r="M171" s="655"/>
      <c r="N171" s="655"/>
      <c r="O171" s="655"/>
      <c r="P171" s="655"/>
      <c r="Q171" s="655"/>
      <c r="R171" s="655"/>
      <c r="S171" s="655"/>
      <c r="T171" s="655"/>
      <c r="U171" s="837"/>
      <c r="V171" s="665">
        <v>125000</v>
      </c>
      <c r="W171" s="665"/>
      <c r="X171" s="665"/>
      <c r="Y171" s="665"/>
      <c r="Z171" s="665"/>
      <c r="AA171" s="665"/>
      <c r="AB171" s="667"/>
      <c r="AC171" s="655"/>
      <c r="AD171" s="655"/>
      <c r="AE171" s="655"/>
      <c r="AF171" s="655"/>
      <c r="AG171" s="655"/>
      <c r="AH171" s="655"/>
      <c r="AI171" s="655"/>
      <c r="AJ171" s="655"/>
      <c r="AK171" s="687"/>
      <c r="AL171" s="669">
        <v>125000</v>
      </c>
      <c r="AM171" s="791">
        <f>(V171+W171+X171+Y171+Z171+AB171+AC171+AD171+AE171+AF171+AG171+AH171+AI171+AJ171+AK171)-AL171</f>
        <v>0</v>
      </c>
      <c r="AN171" s="853" t="s">
        <v>552</v>
      </c>
    </row>
    <row r="172" spans="1:40" s="381" customFormat="1" ht="21.75" thickBot="1" x14ac:dyDescent="0.4">
      <c r="A172" s="846" t="s">
        <v>27</v>
      </c>
      <c r="B172" s="851">
        <v>4217</v>
      </c>
      <c r="C172" s="848" t="s">
        <v>462</v>
      </c>
      <c r="D172" s="849" t="s">
        <v>322</v>
      </c>
      <c r="E172" s="664"/>
      <c r="F172" s="798"/>
      <c r="G172" s="665"/>
      <c r="H172" s="665"/>
      <c r="I172" s="665"/>
      <c r="J172" s="666"/>
      <c r="K172" s="667"/>
      <c r="L172" s="655"/>
      <c r="M172" s="655"/>
      <c r="N172" s="655"/>
      <c r="O172" s="655"/>
      <c r="P172" s="655"/>
      <c r="Q172" s="655">
        <f>AH172-AL172</f>
        <v>0</v>
      </c>
      <c r="R172" s="655"/>
      <c r="S172" s="655"/>
      <c r="T172" s="655"/>
      <c r="U172" s="837"/>
      <c r="V172" s="665"/>
      <c r="W172" s="665"/>
      <c r="X172" s="665"/>
      <c r="Y172" s="665"/>
      <c r="Z172" s="665"/>
      <c r="AA172" s="665"/>
      <c r="AB172" s="667"/>
      <c r="AC172" s="655"/>
      <c r="AD172" s="655"/>
      <c r="AE172" s="655"/>
      <c r="AF172" s="655"/>
      <c r="AG172" s="655"/>
      <c r="AH172" s="655">
        <v>200000</v>
      </c>
      <c r="AI172" s="655"/>
      <c r="AJ172" s="655"/>
      <c r="AK172" s="687"/>
      <c r="AL172" s="669">
        <v>200000</v>
      </c>
      <c r="AM172" s="791">
        <f>(V172+W172+X172+Y172+Z172+AB172+AC172+AD172+AE172+AF172+AG172+AH172+AI172+AJ172+AK172)-AL172</f>
        <v>0</v>
      </c>
      <c r="AN172" s="853" t="s">
        <v>482</v>
      </c>
    </row>
    <row r="173" spans="1:40" s="379" customFormat="1" ht="21.75" thickBot="1" x14ac:dyDescent="0.4">
      <c r="A173" s="522" t="s">
        <v>27</v>
      </c>
      <c r="B173" s="612">
        <v>4222</v>
      </c>
      <c r="C173" s="1084" t="s">
        <v>469</v>
      </c>
      <c r="D173" s="1085" t="s">
        <v>470</v>
      </c>
      <c r="E173" s="1086"/>
      <c r="F173" s="1087"/>
      <c r="G173" s="1087"/>
      <c r="H173" s="1087"/>
      <c r="I173" s="1086"/>
      <c r="J173" s="351"/>
      <c r="K173" s="788">
        <f>AB173-AL173</f>
        <v>400</v>
      </c>
      <c r="L173" s="1088"/>
      <c r="M173" s="1088"/>
      <c r="N173" s="1088"/>
      <c r="O173" s="1088"/>
      <c r="P173" s="1088"/>
      <c r="Q173" s="1088"/>
      <c r="R173" s="1088"/>
      <c r="S173" s="1088"/>
      <c r="T173" s="1088"/>
      <c r="U173" s="837"/>
      <c r="V173" s="461"/>
      <c r="W173" s="461"/>
      <c r="X173" s="461"/>
      <c r="Y173" s="461"/>
      <c r="Z173" s="466"/>
      <c r="AA173" s="353"/>
      <c r="AB173" s="462">
        <v>1000000</v>
      </c>
      <c r="AC173" s="463"/>
      <c r="AD173" s="463"/>
      <c r="AE173" s="463"/>
      <c r="AF173" s="463"/>
      <c r="AG173" s="463"/>
      <c r="AH173" s="463"/>
      <c r="AI173" s="463"/>
      <c r="AJ173" s="463"/>
      <c r="AK173" s="1163"/>
      <c r="AL173" s="464">
        <f>998900+700</f>
        <v>999600</v>
      </c>
      <c r="AM173" s="881">
        <f>(V173+W173+X173+Y173+Z173+AB173+AC173+AD173+AE173+AF173+AG173+AH173+AI173+AJ173+AK173)-AL173</f>
        <v>400</v>
      </c>
      <c r="AN173" s="843" t="s">
        <v>660</v>
      </c>
    </row>
    <row r="174" spans="1:40" s="379" customFormat="1" ht="21.75" thickBot="1" x14ac:dyDescent="0.4">
      <c r="A174" s="522" t="s">
        <v>27</v>
      </c>
      <c r="B174" s="1164">
        <v>4230</v>
      </c>
      <c r="C174" s="1156" t="s">
        <v>474</v>
      </c>
      <c r="D174" s="889" t="s">
        <v>376</v>
      </c>
      <c r="E174" s="355"/>
      <c r="F174" s="803"/>
      <c r="G174" s="803"/>
      <c r="H174" s="803"/>
      <c r="I174" s="355"/>
      <c r="J174" s="351"/>
      <c r="K174" s="367"/>
      <c r="L174" s="486"/>
      <c r="M174" s="1088">
        <f>AD174-AL174</f>
        <v>2000</v>
      </c>
      <c r="N174" s="486"/>
      <c r="O174" s="486"/>
      <c r="P174" s="486"/>
      <c r="Q174" s="486"/>
      <c r="R174" s="486"/>
      <c r="S174" s="486"/>
      <c r="T174" s="486"/>
      <c r="U174" s="837"/>
      <c r="V174" s="356"/>
      <c r="W174" s="356"/>
      <c r="X174" s="356"/>
      <c r="Y174" s="356"/>
      <c r="Z174" s="387"/>
      <c r="AA174" s="356"/>
      <c r="AB174" s="358"/>
      <c r="AC174" s="388"/>
      <c r="AD174" s="388">
        <v>20000</v>
      </c>
      <c r="AE174" s="388"/>
      <c r="AF174" s="388"/>
      <c r="AG174" s="388"/>
      <c r="AH174" s="388"/>
      <c r="AI174" s="388"/>
      <c r="AJ174" s="388"/>
      <c r="AK174" s="438"/>
      <c r="AL174" s="436">
        <v>18000</v>
      </c>
      <c r="AM174" s="881">
        <f t="shared" ref="AM174:AM191" si="55">(V174+W174+X174+Y174+Z174+AB174+AC174+AD174+AE174+AF174+AG174+AH174+AI174+AJ174+AK174)-AL174</f>
        <v>2000</v>
      </c>
      <c r="AN174" s="386" t="s">
        <v>655</v>
      </c>
    </row>
    <row r="175" spans="1:40" s="379" customFormat="1" ht="21.75" thickBot="1" x14ac:dyDescent="0.4">
      <c r="A175" s="522" t="s">
        <v>27</v>
      </c>
      <c r="B175" s="1164">
        <v>4265</v>
      </c>
      <c r="C175" s="1156" t="s">
        <v>649</v>
      </c>
      <c r="D175" s="889" t="s">
        <v>653</v>
      </c>
      <c r="E175" s="355">
        <f>V175-AL175</f>
        <v>0</v>
      </c>
      <c r="F175" s="803">
        <f>W175-AL175</f>
        <v>60000</v>
      </c>
      <c r="G175" s="803">
        <f>X175-AL175</f>
        <v>0</v>
      </c>
      <c r="H175" s="803">
        <f>Y175-AL175</f>
        <v>0</v>
      </c>
      <c r="I175" s="355">
        <f>Z175-AL175</f>
        <v>0</v>
      </c>
      <c r="J175" s="351">
        <f>SUM(F175:I175)</f>
        <v>60000</v>
      </c>
      <c r="K175" s="367">
        <f>AB175-AL175</f>
        <v>0</v>
      </c>
      <c r="L175" s="486"/>
      <c r="M175" s="1088"/>
      <c r="N175" s="486"/>
      <c r="O175" s="486"/>
      <c r="P175" s="486"/>
      <c r="Q175" s="486"/>
      <c r="R175" s="486"/>
      <c r="S175" s="486"/>
      <c r="T175" s="486"/>
      <c r="U175" s="837"/>
      <c r="V175" s="356"/>
      <c r="W175" s="356">
        <v>60000</v>
      </c>
      <c r="X175" s="356"/>
      <c r="Y175" s="356"/>
      <c r="Z175" s="387"/>
      <c r="AA175" s="356"/>
      <c r="AB175" s="358"/>
      <c r="AC175" s="388"/>
      <c r="AD175" s="388"/>
      <c r="AE175" s="388"/>
      <c r="AF175" s="388"/>
      <c r="AG175" s="388"/>
      <c r="AH175" s="388"/>
      <c r="AI175" s="388"/>
      <c r="AJ175" s="388"/>
      <c r="AK175" s="438"/>
      <c r="AL175" s="436"/>
      <c r="AM175" s="881">
        <f t="shared" si="55"/>
        <v>60000</v>
      </c>
      <c r="AN175" s="1162"/>
    </row>
    <row r="176" spans="1:40" s="379" customFormat="1" ht="21.75" thickBot="1" x14ac:dyDescent="0.4">
      <c r="A176" s="693" t="s">
        <v>27</v>
      </c>
      <c r="B176" s="851">
        <v>4262</v>
      </c>
      <c r="C176" s="1181" t="s">
        <v>652</v>
      </c>
      <c r="D176" s="863" t="s">
        <v>654</v>
      </c>
      <c r="E176" s="665"/>
      <c r="F176" s="798">
        <f t="shared" ref="F176:F183" si="56">W176-AL176</f>
        <v>0</v>
      </c>
      <c r="G176" s="798"/>
      <c r="H176" s="798"/>
      <c r="I176" s="665"/>
      <c r="J176" s="666">
        <f t="shared" ref="J176:J184" si="57">SUM(F176:I176)</f>
        <v>0</v>
      </c>
      <c r="K176" s="667"/>
      <c r="L176" s="655"/>
      <c r="M176" s="1095"/>
      <c r="N176" s="655"/>
      <c r="O176" s="655"/>
      <c r="P176" s="655"/>
      <c r="Q176" s="655"/>
      <c r="R176" s="655"/>
      <c r="S176" s="655"/>
      <c r="T176" s="655"/>
      <c r="U176" s="1153"/>
      <c r="V176" s="665"/>
      <c r="W176" s="665">
        <v>1770</v>
      </c>
      <c r="X176" s="665"/>
      <c r="Y176" s="665"/>
      <c r="Z176" s="686"/>
      <c r="AA176" s="665"/>
      <c r="AB176" s="667"/>
      <c r="AC176" s="655"/>
      <c r="AD176" s="655"/>
      <c r="AE176" s="655"/>
      <c r="AF176" s="655"/>
      <c r="AG176" s="655"/>
      <c r="AH176" s="655"/>
      <c r="AI176" s="655"/>
      <c r="AJ176" s="655"/>
      <c r="AK176" s="687"/>
      <c r="AL176" s="669">
        <v>1770</v>
      </c>
      <c r="AM176" s="1003">
        <f t="shared" si="55"/>
        <v>0</v>
      </c>
      <c r="AN176" s="1182" t="s">
        <v>677</v>
      </c>
    </row>
    <row r="177" spans="1:40" s="379" customFormat="1" ht="21.75" thickBot="1" x14ac:dyDescent="0.4">
      <c r="A177" s="522" t="s">
        <v>27</v>
      </c>
      <c r="B177" s="1164">
        <v>4265</v>
      </c>
      <c r="C177" s="1156" t="s">
        <v>649</v>
      </c>
      <c r="D177" s="889" t="s">
        <v>653</v>
      </c>
      <c r="E177" s="355">
        <f t="shared" ref="E177:E183" si="58">V177-AL177</f>
        <v>0</v>
      </c>
      <c r="F177" s="803">
        <f t="shared" si="56"/>
        <v>0</v>
      </c>
      <c r="G177" s="803">
        <f t="shared" ref="G177:G183" si="59">X177-AL177</f>
        <v>60000</v>
      </c>
      <c r="H177" s="803">
        <f t="shared" ref="H177:H183" si="60">Y177-AL177</f>
        <v>0</v>
      </c>
      <c r="I177" s="355">
        <f t="shared" ref="I177:I183" si="61">Z177-AL177</f>
        <v>0</v>
      </c>
      <c r="J177" s="351">
        <f t="shared" si="57"/>
        <v>60000</v>
      </c>
      <c r="K177" s="367">
        <f t="shared" ref="K177:K184" si="62">AB177-AL177</f>
        <v>0</v>
      </c>
      <c r="L177" s="486"/>
      <c r="M177" s="1088"/>
      <c r="N177" s="486"/>
      <c r="O177" s="486"/>
      <c r="P177" s="486"/>
      <c r="Q177" s="486"/>
      <c r="R177" s="486"/>
      <c r="S177" s="486"/>
      <c r="T177" s="486"/>
      <c r="U177" s="837"/>
      <c r="V177" s="356"/>
      <c r="W177" s="356"/>
      <c r="X177" s="356">
        <v>60000</v>
      </c>
      <c r="Y177" s="356"/>
      <c r="Z177" s="387"/>
      <c r="AA177" s="356"/>
      <c r="AB177" s="358"/>
      <c r="AC177" s="388"/>
      <c r="AD177" s="388"/>
      <c r="AE177" s="388"/>
      <c r="AF177" s="388"/>
      <c r="AG177" s="388"/>
      <c r="AH177" s="388"/>
      <c r="AI177" s="388"/>
      <c r="AJ177" s="388"/>
      <c r="AK177" s="438"/>
      <c r="AL177" s="436"/>
      <c r="AM177" s="881">
        <f t="shared" si="55"/>
        <v>60000</v>
      </c>
      <c r="AN177" s="1162"/>
    </row>
    <row r="178" spans="1:40" s="379" customFormat="1" ht="21.75" thickBot="1" x14ac:dyDescent="0.4">
      <c r="A178" s="693" t="s">
        <v>27</v>
      </c>
      <c r="B178" s="851">
        <v>4262</v>
      </c>
      <c r="C178" s="1181" t="s">
        <v>652</v>
      </c>
      <c r="D178" s="863" t="s">
        <v>654</v>
      </c>
      <c r="E178" s="665"/>
      <c r="F178" s="798"/>
      <c r="G178" s="798"/>
      <c r="H178" s="798"/>
      <c r="I178" s="665"/>
      <c r="J178" s="666">
        <f t="shared" si="57"/>
        <v>0</v>
      </c>
      <c r="K178" s="667"/>
      <c r="L178" s="655"/>
      <c r="M178" s="1095"/>
      <c r="N178" s="655"/>
      <c r="O178" s="655"/>
      <c r="P178" s="655"/>
      <c r="Q178" s="655"/>
      <c r="R178" s="655"/>
      <c r="S178" s="655"/>
      <c r="T178" s="655"/>
      <c r="U178" s="1153"/>
      <c r="V178" s="665"/>
      <c r="W178" s="665"/>
      <c r="X178" s="665">
        <v>6210</v>
      </c>
      <c r="Y178" s="665"/>
      <c r="Z178" s="686"/>
      <c r="AA178" s="665"/>
      <c r="AB178" s="667"/>
      <c r="AC178" s="655"/>
      <c r="AD178" s="655"/>
      <c r="AE178" s="655"/>
      <c r="AF178" s="655"/>
      <c r="AG178" s="655"/>
      <c r="AH178" s="655"/>
      <c r="AI178" s="655"/>
      <c r="AJ178" s="655"/>
      <c r="AK178" s="687"/>
      <c r="AL178" s="669">
        <v>6210</v>
      </c>
      <c r="AM178" s="1003">
        <f t="shared" si="55"/>
        <v>0</v>
      </c>
      <c r="AN178" s="1182" t="s">
        <v>678</v>
      </c>
    </row>
    <row r="179" spans="1:40" s="379" customFormat="1" ht="21.75" thickBot="1" x14ac:dyDescent="0.4">
      <c r="A179" s="522" t="s">
        <v>27</v>
      </c>
      <c r="B179" s="1164">
        <v>4265</v>
      </c>
      <c r="C179" s="1156" t="s">
        <v>649</v>
      </c>
      <c r="D179" s="889" t="s">
        <v>653</v>
      </c>
      <c r="E179" s="355">
        <f t="shared" si="58"/>
        <v>0</v>
      </c>
      <c r="F179" s="803">
        <f t="shared" si="56"/>
        <v>0</v>
      </c>
      <c r="G179" s="803">
        <f t="shared" si="59"/>
        <v>0</v>
      </c>
      <c r="H179" s="803">
        <f t="shared" si="60"/>
        <v>30000</v>
      </c>
      <c r="I179" s="355">
        <f t="shared" si="61"/>
        <v>0</v>
      </c>
      <c r="J179" s="351">
        <f t="shared" si="57"/>
        <v>30000</v>
      </c>
      <c r="K179" s="367">
        <f t="shared" si="62"/>
        <v>0</v>
      </c>
      <c r="L179" s="486"/>
      <c r="M179" s="1088"/>
      <c r="N179" s="486"/>
      <c r="O179" s="486"/>
      <c r="P179" s="486"/>
      <c r="Q179" s="486"/>
      <c r="R179" s="486"/>
      <c r="S179" s="486"/>
      <c r="T179" s="486"/>
      <c r="U179" s="837"/>
      <c r="V179" s="356"/>
      <c r="W179" s="356"/>
      <c r="X179" s="356"/>
      <c r="Y179" s="356">
        <v>30000</v>
      </c>
      <c r="Z179" s="387"/>
      <c r="AA179" s="356"/>
      <c r="AB179" s="358"/>
      <c r="AC179" s="388"/>
      <c r="AD179" s="388"/>
      <c r="AE179" s="388"/>
      <c r="AF179" s="388"/>
      <c r="AG179" s="388"/>
      <c r="AH179" s="388"/>
      <c r="AI179" s="388"/>
      <c r="AJ179" s="388"/>
      <c r="AK179" s="438"/>
      <c r="AL179" s="436"/>
      <c r="AM179" s="881">
        <f t="shared" si="55"/>
        <v>30000</v>
      </c>
      <c r="AN179" s="1162"/>
    </row>
    <row r="180" spans="1:40" s="379" customFormat="1" ht="21.75" thickBot="1" x14ac:dyDescent="0.4">
      <c r="A180" s="693" t="s">
        <v>27</v>
      </c>
      <c r="B180" s="851">
        <v>4262</v>
      </c>
      <c r="C180" s="1181" t="s">
        <v>652</v>
      </c>
      <c r="D180" s="863" t="s">
        <v>654</v>
      </c>
      <c r="E180" s="665"/>
      <c r="F180" s="798"/>
      <c r="G180" s="798"/>
      <c r="H180" s="798">
        <f t="shared" si="60"/>
        <v>0</v>
      </c>
      <c r="I180" s="665"/>
      <c r="J180" s="666">
        <f t="shared" si="57"/>
        <v>0</v>
      </c>
      <c r="K180" s="667"/>
      <c r="L180" s="655"/>
      <c r="M180" s="1095"/>
      <c r="N180" s="655"/>
      <c r="O180" s="655"/>
      <c r="P180" s="655"/>
      <c r="Q180" s="655"/>
      <c r="R180" s="655"/>
      <c r="S180" s="655"/>
      <c r="T180" s="655"/>
      <c r="U180" s="1153"/>
      <c r="V180" s="665"/>
      <c r="W180" s="665"/>
      <c r="X180" s="665"/>
      <c r="Y180" s="665">
        <v>4320</v>
      </c>
      <c r="Z180" s="686"/>
      <c r="AA180" s="665"/>
      <c r="AB180" s="667"/>
      <c r="AC180" s="655"/>
      <c r="AD180" s="655"/>
      <c r="AE180" s="655"/>
      <c r="AF180" s="655"/>
      <c r="AG180" s="655"/>
      <c r="AH180" s="655"/>
      <c r="AI180" s="655"/>
      <c r="AJ180" s="655"/>
      <c r="AK180" s="687"/>
      <c r="AL180" s="669">
        <v>4320</v>
      </c>
      <c r="AM180" s="1003">
        <f t="shared" si="55"/>
        <v>0</v>
      </c>
      <c r="AN180" s="1182" t="s">
        <v>679</v>
      </c>
    </row>
    <row r="181" spans="1:40" s="379" customFormat="1" ht="21.75" thickBot="1" x14ac:dyDescent="0.4">
      <c r="A181" s="522" t="s">
        <v>27</v>
      </c>
      <c r="B181" s="1164">
        <v>4266</v>
      </c>
      <c r="C181" s="1156" t="s">
        <v>649</v>
      </c>
      <c r="D181" s="889" t="s">
        <v>653</v>
      </c>
      <c r="E181" s="355">
        <f t="shared" si="58"/>
        <v>0</v>
      </c>
      <c r="F181" s="803">
        <f t="shared" si="56"/>
        <v>0</v>
      </c>
      <c r="G181" s="803">
        <f t="shared" si="59"/>
        <v>0</v>
      </c>
      <c r="H181" s="803">
        <f t="shared" si="60"/>
        <v>0</v>
      </c>
      <c r="I181" s="355">
        <f t="shared" si="61"/>
        <v>30000</v>
      </c>
      <c r="J181" s="351">
        <f t="shared" si="57"/>
        <v>30000</v>
      </c>
      <c r="K181" s="367">
        <f t="shared" si="62"/>
        <v>0</v>
      </c>
      <c r="L181" s="486"/>
      <c r="M181" s="1088"/>
      <c r="N181" s="486"/>
      <c r="O181" s="486"/>
      <c r="P181" s="486"/>
      <c r="Q181" s="486"/>
      <c r="R181" s="486"/>
      <c r="S181" s="486"/>
      <c r="T181" s="486"/>
      <c r="U181" s="837"/>
      <c r="V181" s="356"/>
      <c r="W181" s="356"/>
      <c r="X181" s="356"/>
      <c r="Y181" s="356"/>
      <c r="Z181" s="387">
        <v>30000</v>
      </c>
      <c r="AA181" s="356"/>
      <c r="AB181" s="358"/>
      <c r="AC181" s="388"/>
      <c r="AD181" s="388"/>
      <c r="AE181" s="388"/>
      <c r="AF181" s="388"/>
      <c r="AG181" s="388"/>
      <c r="AH181" s="388"/>
      <c r="AI181" s="388"/>
      <c r="AJ181" s="388"/>
      <c r="AK181" s="438"/>
      <c r="AL181" s="436"/>
      <c r="AM181" s="881">
        <f t="shared" si="55"/>
        <v>30000</v>
      </c>
      <c r="AN181" s="1162"/>
    </row>
    <row r="182" spans="1:40" s="379" customFormat="1" ht="21.75" thickBot="1" x14ac:dyDescent="0.4">
      <c r="A182" s="522" t="s">
        <v>27</v>
      </c>
      <c r="B182" s="1164">
        <v>4262</v>
      </c>
      <c r="C182" s="1156" t="s">
        <v>652</v>
      </c>
      <c r="D182" s="889" t="s">
        <v>654</v>
      </c>
      <c r="E182" s="355"/>
      <c r="F182" s="803"/>
      <c r="G182" s="803"/>
      <c r="H182" s="803"/>
      <c r="I182" s="355">
        <f t="shared" si="61"/>
        <v>30</v>
      </c>
      <c r="J182" s="351">
        <f t="shared" si="57"/>
        <v>30</v>
      </c>
      <c r="K182" s="367"/>
      <c r="L182" s="486"/>
      <c r="M182" s="1088"/>
      <c r="N182" s="486"/>
      <c r="O182" s="486"/>
      <c r="P182" s="486"/>
      <c r="Q182" s="486"/>
      <c r="R182" s="486"/>
      <c r="S182" s="486"/>
      <c r="T182" s="486"/>
      <c r="U182" s="837"/>
      <c r="V182" s="356"/>
      <c r="W182" s="356"/>
      <c r="X182" s="356"/>
      <c r="Y182" s="356"/>
      <c r="Z182" s="387">
        <v>1170</v>
      </c>
      <c r="AA182" s="356"/>
      <c r="AB182" s="358"/>
      <c r="AC182" s="388"/>
      <c r="AD182" s="388"/>
      <c r="AE182" s="388"/>
      <c r="AF182" s="388"/>
      <c r="AG182" s="388"/>
      <c r="AH182" s="388"/>
      <c r="AI182" s="388"/>
      <c r="AJ182" s="388"/>
      <c r="AK182" s="438"/>
      <c r="AL182" s="436">
        <v>1140</v>
      </c>
      <c r="AM182" s="881">
        <f t="shared" si="55"/>
        <v>30</v>
      </c>
      <c r="AN182" s="1162" t="s">
        <v>680</v>
      </c>
    </row>
    <row r="183" spans="1:40" s="379" customFormat="1" ht="21.75" thickBot="1" x14ac:dyDescent="0.4">
      <c r="A183" s="522" t="s">
        <v>27</v>
      </c>
      <c r="B183" s="1164">
        <v>4260</v>
      </c>
      <c r="C183" s="1156" t="s">
        <v>651</v>
      </c>
      <c r="D183" s="889" t="s">
        <v>654</v>
      </c>
      <c r="E183" s="355">
        <f t="shared" si="58"/>
        <v>212500</v>
      </c>
      <c r="F183" s="803">
        <f t="shared" si="56"/>
        <v>0</v>
      </c>
      <c r="G183" s="803">
        <f t="shared" si="59"/>
        <v>0</v>
      </c>
      <c r="H183" s="803">
        <f t="shared" si="60"/>
        <v>0</v>
      </c>
      <c r="I183" s="355">
        <f t="shared" si="61"/>
        <v>0</v>
      </c>
      <c r="J183" s="351">
        <f t="shared" si="57"/>
        <v>0</v>
      </c>
      <c r="K183" s="367">
        <f t="shared" si="62"/>
        <v>0</v>
      </c>
      <c r="L183" s="486"/>
      <c r="M183" s="1088"/>
      <c r="N183" s="486"/>
      <c r="O183" s="486"/>
      <c r="P183" s="486"/>
      <c r="Q183" s="486"/>
      <c r="R183" s="486"/>
      <c r="S183" s="486"/>
      <c r="T183" s="486"/>
      <c r="U183" s="837"/>
      <c r="V183" s="356">
        <v>212500</v>
      </c>
      <c r="W183" s="356"/>
      <c r="X183" s="356"/>
      <c r="Y183" s="356"/>
      <c r="Z183" s="387"/>
      <c r="AA183" s="356"/>
      <c r="AB183" s="358"/>
      <c r="AC183" s="388"/>
      <c r="AD183" s="388"/>
      <c r="AE183" s="388"/>
      <c r="AF183" s="388"/>
      <c r="AG183" s="388"/>
      <c r="AH183" s="388"/>
      <c r="AI183" s="388"/>
      <c r="AJ183" s="388"/>
      <c r="AK183" s="438"/>
      <c r="AL183" s="436"/>
      <c r="AM183" s="881">
        <f t="shared" si="55"/>
        <v>212500</v>
      </c>
      <c r="AN183" s="1162"/>
    </row>
    <row r="184" spans="1:40" s="379" customFormat="1" ht="21.75" thickBot="1" x14ac:dyDescent="0.4">
      <c r="A184" s="693" t="s">
        <v>27</v>
      </c>
      <c r="B184" s="851">
        <v>4261</v>
      </c>
      <c r="C184" s="1181" t="s">
        <v>652</v>
      </c>
      <c r="D184" s="863" t="s">
        <v>654</v>
      </c>
      <c r="E184" s="665"/>
      <c r="F184" s="798"/>
      <c r="G184" s="798"/>
      <c r="H184" s="798"/>
      <c r="I184" s="665"/>
      <c r="J184" s="666">
        <f t="shared" si="57"/>
        <v>0</v>
      </c>
      <c r="K184" s="667">
        <f t="shared" si="62"/>
        <v>0</v>
      </c>
      <c r="L184" s="655"/>
      <c r="M184" s="1095"/>
      <c r="N184" s="655"/>
      <c r="O184" s="655"/>
      <c r="P184" s="655"/>
      <c r="Q184" s="655"/>
      <c r="R184" s="655"/>
      <c r="S184" s="655"/>
      <c r="T184" s="655"/>
      <c r="U184" s="1153"/>
      <c r="V184" s="665"/>
      <c r="W184" s="665"/>
      <c r="X184" s="665"/>
      <c r="Y184" s="665"/>
      <c r="Z184" s="686"/>
      <c r="AA184" s="665"/>
      <c r="AB184" s="667">
        <v>500000</v>
      </c>
      <c r="AC184" s="655"/>
      <c r="AD184" s="655"/>
      <c r="AE184" s="655"/>
      <c r="AF184" s="655"/>
      <c r="AG184" s="655"/>
      <c r="AH184" s="655"/>
      <c r="AI184" s="655"/>
      <c r="AJ184" s="655"/>
      <c r="AK184" s="687"/>
      <c r="AL184" s="669">
        <v>500000</v>
      </c>
      <c r="AM184" s="1003">
        <f t="shared" si="55"/>
        <v>0</v>
      </c>
      <c r="AN184" s="1182" t="s">
        <v>681</v>
      </c>
    </row>
    <row r="185" spans="1:40" s="379" customFormat="1" ht="21.75" thickBot="1" x14ac:dyDescent="0.4">
      <c r="A185" s="693" t="s">
        <v>27</v>
      </c>
      <c r="B185" s="851">
        <v>4267</v>
      </c>
      <c r="C185" s="1181" t="s">
        <v>659</v>
      </c>
      <c r="D185" s="863" t="s">
        <v>653</v>
      </c>
      <c r="E185" s="665"/>
      <c r="F185" s="798"/>
      <c r="G185" s="798"/>
      <c r="H185" s="798"/>
      <c r="I185" s="665"/>
      <c r="J185" s="666"/>
      <c r="K185" s="667"/>
      <c r="L185" s="655"/>
      <c r="M185" s="1095">
        <f>AD185-AL185</f>
        <v>0</v>
      </c>
      <c r="N185" s="655"/>
      <c r="O185" s="655"/>
      <c r="P185" s="655"/>
      <c r="Q185" s="655"/>
      <c r="R185" s="655"/>
      <c r="S185" s="655"/>
      <c r="T185" s="655"/>
      <c r="U185" s="1153"/>
      <c r="V185" s="665"/>
      <c r="W185" s="665"/>
      <c r="X185" s="665"/>
      <c r="Y185" s="665"/>
      <c r="Z185" s="686"/>
      <c r="AA185" s="665"/>
      <c r="AB185" s="667"/>
      <c r="AC185" s="655"/>
      <c r="AD185" s="655">
        <v>5000</v>
      </c>
      <c r="AE185" s="655"/>
      <c r="AF185" s="655"/>
      <c r="AG185" s="655"/>
      <c r="AH185" s="655"/>
      <c r="AI185" s="655"/>
      <c r="AJ185" s="655"/>
      <c r="AK185" s="687"/>
      <c r="AL185" s="669">
        <v>5000</v>
      </c>
      <c r="AM185" s="1003">
        <f t="shared" si="55"/>
        <v>0</v>
      </c>
      <c r="AN185" s="1182" t="s">
        <v>703</v>
      </c>
    </row>
    <row r="186" spans="1:40" s="379" customFormat="1" ht="21.75" thickBot="1" x14ac:dyDescent="0.4">
      <c r="A186" s="522" t="s">
        <v>27</v>
      </c>
      <c r="B186" s="1164">
        <v>4267</v>
      </c>
      <c r="C186" s="1156" t="s">
        <v>659</v>
      </c>
      <c r="D186" s="889" t="s">
        <v>653</v>
      </c>
      <c r="E186" s="355"/>
      <c r="F186" s="803"/>
      <c r="G186" s="803"/>
      <c r="H186" s="803"/>
      <c r="I186" s="355"/>
      <c r="J186" s="351"/>
      <c r="K186" s="367"/>
      <c r="L186" s="486"/>
      <c r="M186" s="1088"/>
      <c r="N186" s="486">
        <f>AE186-AL186</f>
        <v>5000</v>
      </c>
      <c r="O186" s="486"/>
      <c r="P186" s="486"/>
      <c r="Q186" s="486"/>
      <c r="R186" s="486"/>
      <c r="S186" s="486"/>
      <c r="T186" s="486"/>
      <c r="U186" s="837"/>
      <c r="V186" s="356"/>
      <c r="W186" s="356"/>
      <c r="X186" s="356"/>
      <c r="Y186" s="356"/>
      <c r="Z186" s="387"/>
      <c r="AA186" s="356"/>
      <c r="AB186" s="358"/>
      <c r="AC186" s="388"/>
      <c r="AD186" s="388"/>
      <c r="AE186" s="388">
        <v>5000</v>
      </c>
      <c r="AF186" s="388"/>
      <c r="AG186" s="388"/>
      <c r="AH186" s="388"/>
      <c r="AI186" s="388"/>
      <c r="AJ186" s="388"/>
      <c r="AK186" s="438"/>
      <c r="AL186" s="436"/>
      <c r="AM186" s="881">
        <f t="shared" si="55"/>
        <v>5000</v>
      </c>
      <c r="AN186" s="1162"/>
    </row>
    <row r="187" spans="1:40" s="379" customFormat="1" ht="21.75" thickBot="1" x14ac:dyDescent="0.4">
      <c r="A187" s="522" t="s">
        <v>27</v>
      </c>
      <c r="B187" s="1164">
        <v>4269</v>
      </c>
      <c r="C187" s="1156" t="s">
        <v>659</v>
      </c>
      <c r="D187" s="889" t="s">
        <v>653</v>
      </c>
      <c r="E187" s="355"/>
      <c r="F187" s="803"/>
      <c r="G187" s="803"/>
      <c r="H187" s="803"/>
      <c r="I187" s="355"/>
      <c r="J187" s="351"/>
      <c r="K187" s="367">
        <f t="shared" ref="K187" si="63">AB187-AL187</f>
        <v>200000</v>
      </c>
      <c r="L187" s="486"/>
      <c r="M187" s="1088"/>
      <c r="N187" s="486"/>
      <c r="O187" s="486"/>
      <c r="P187" s="486"/>
      <c r="Q187" s="486"/>
      <c r="R187" s="486"/>
      <c r="S187" s="486"/>
      <c r="T187" s="486"/>
      <c r="U187" s="837"/>
      <c r="V187" s="356"/>
      <c r="W187" s="356"/>
      <c r="X187" s="356"/>
      <c r="Y187" s="356"/>
      <c r="Z187" s="387"/>
      <c r="AA187" s="356"/>
      <c r="AB187" s="358">
        <v>200000</v>
      </c>
      <c r="AC187" s="388"/>
      <c r="AD187" s="388"/>
      <c r="AE187" s="388"/>
      <c r="AF187" s="388"/>
      <c r="AG187" s="388"/>
      <c r="AH187" s="388"/>
      <c r="AI187" s="388"/>
      <c r="AJ187" s="388"/>
      <c r="AK187" s="438"/>
      <c r="AL187" s="436"/>
      <c r="AM187" s="881">
        <f t="shared" si="55"/>
        <v>200000</v>
      </c>
      <c r="AN187" s="1162"/>
    </row>
    <row r="188" spans="1:40" s="379" customFormat="1" ht="21.75" thickBot="1" x14ac:dyDescent="0.4">
      <c r="A188" s="522" t="s">
        <v>27</v>
      </c>
      <c r="B188" s="1164">
        <v>4270</v>
      </c>
      <c r="C188" s="1156" t="s">
        <v>659</v>
      </c>
      <c r="D188" s="889" t="s">
        <v>653</v>
      </c>
      <c r="E188" s="355"/>
      <c r="F188" s="803"/>
      <c r="G188" s="803"/>
      <c r="H188" s="803"/>
      <c r="I188" s="355"/>
      <c r="J188" s="351"/>
      <c r="K188" s="367"/>
      <c r="L188" s="486"/>
      <c r="M188" s="1088"/>
      <c r="N188" s="486"/>
      <c r="O188" s="486"/>
      <c r="P188" s="486">
        <f>AG188-AL188</f>
        <v>1500</v>
      </c>
      <c r="Q188" s="486"/>
      <c r="R188" s="486"/>
      <c r="S188" s="486"/>
      <c r="T188" s="486"/>
      <c r="U188" s="837"/>
      <c r="V188" s="356"/>
      <c r="W188" s="356"/>
      <c r="X188" s="356"/>
      <c r="Y188" s="356"/>
      <c r="Z188" s="387"/>
      <c r="AA188" s="356"/>
      <c r="AB188" s="358"/>
      <c r="AC188" s="388"/>
      <c r="AD188" s="388"/>
      <c r="AE188" s="388"/>
      <c r="AF188" s="388"/>
      <c r="AG188" s="388">
        <v>1500</v>
      </c>
      <c r="AH188" s="388"/>
      <c r="AI188" s="388"/>
      <c r="AJ188" s="388"/>
      <c r="AK188" s="438"/>
      <c r="AL188" s="436"/>
      <c r="AM188" s="881">
        <f t="shared" si="55"/>
        <v>1500</v>
      </c>
      <c r="AN188" s="1162"/>
    </row>
    <row r="189" spans="1:40" s="379" customFormat="1" ht="21.75" thickBot="1" x14ac:dyDescent="0.4">
      <c r="A189" s="522" t="s">
        <v>27</v>
      </c>
      <c r="B189" s="1164">
        <v>4269</v>
      </c>
      <c r="C189" s="1156" t="s">
        <v>659</v>
      </c>
      <c r="D189" s="889" t="s">
        <v>653</v>
      </c>
      <c r="E189" s="355"/>
      <c r="F189" s="803"/>
      <c r="G189" s="803"/>
      <c r="H189" s="803"/>
      <c r="I189" s="355"/>
      <c r="J189" s="351"/>
      <c r="K189" s="367"/>
      <c r="L189" s="486"/>
      <c r="M189" s="1088"/>
      <c r="N189" s="486"/>
      <c r="O189" s="486"/>
      <c r="P189" s="486"/>
      <c r="Q189" s="486">
        <f>AH189-AL189</f>
        <v>100000</v>
      </c>
      <c r="R189" s="486"/>
      <c r="S189" s="486"/>
      <c r="T189" s="486"/>
      <c r="U189" s="837"/>
      <c r="V189" s="356"/>
      <c r="W189" s="356"/>
      <c r="X189" s="356"/>
      <c r="Y189" s="356"/>
      <c r="Z189" s="387"/>
      <c r="AA189" s="356"/>
      <c r="AB189" s="358"/>
      <c r="AC189" s="388"/>
      <c r="AD189" s="388"/>
      <c r="AE189" s="388"/>
      <c r="AF189" s="388"/>
      <c r="AG189" s="388"/>
      <c r="AH189" s="388">
        <v>100000</v>
      </c>
      <c r="AI189" s="388"/>
      <c r="AJ189" s="388"/>
      <c r="AK189" s="438"/>
      <c r="AL189" s="436"/>
      <c r="AM189" s="881">
        <f t="shared" si="55"/>
        <v>100000</v>
      </c>
      <c r="AN189" s="1162"/>
    </row>
    <row r="190" spans="1:40" s="379" customFormat="1" ht="21.75" thickBot="1" x14ac:dyDescent="0.4">
      <c r="A190" s="1190" t="s">
        <v>27</v>
      </c>
      <c r="B190" s="1164">
        <v>4268</v>
      </c>
      <c r="C190" s="1156" t="s">
        <v>659</v>
      </c>
      <c r="D190" s="889" t="s">
        <v>653</v>
      </c>
      <c r="E190" s="355"/>
      <c r="F190" s="803"/>
      <c r="G190" s="803"/>
      <c r="H190" s="803"/>
      <c r="I190" s="355"/>
      <c r="J190" s="351"/>
      <c r="K190" s="367"/>
      <c r="L190" s="486">
        <f>AC190-AL190</f>
        <v>100000</v>
      </c>
      <c r="M190" s="1088"/>
      <c r="N190" s="486"/>
      <c r="O190" s="486"/>
      <c r="P190" s="486"/>
      <c r="Q190" s="486"/>
      <c r="R190" s="486"/>
      <c r="S190" s="486"/>
      <c r="T190" s="486"/>
      <c r="U190" s="837"/>
      <c r="V190" s="356"/>
      <c r="W190" s="356"/>
      <c r="X190" s="356"/>
      <c r="Y190" s="356"/>
      <c r="Z190" s="387"/>
      <c r="AA190" s="356"/>
      <c r="AB190" s="358"/>
      <c r="AC190" s="388">
        <v>100000</v>
      </c>
      <c r="AD190" s="388"/>
      <c r="AE190" s="388"/>
      <c r="AF190" s="388"/>
      <c r="AG190" s="388"/>
      <c r="AH190" s="388"/>
      <c r="AI190" s="388"/>
      <c r="AJ190" s="388"/>
      <c r="AK190" s="438"/>
      <c r="AL190" s="436"/>
      <c r="AM190" s="881">
        <f t="shared" si="55"/>
        <v>100000</v>
      </c>
      <c r="AN190" s="1162"/>
    </row>
    <row r="191" spans="1:40" s="379" customFormat="1" ht="21.75" thickBot="1" x14ac:dyDescent="0.4">
      <c r="A191" s="1172" t="s">
        <v>27</v>
      </c>
      <c r="B191" s="1164">
        <v>4303</v>
      </c>
      <c r="C191" s="1156">
        <v>45996</v>
      </c>
      <c r="D191" s="889">
        <v>46203</v>
      </c>
      <c r="E191" s="355">
        <f t="shared" ref="E191" si="64">V191-AL191</f>
        <v>200000</v>
      </c>
      <c r="F191" s="803"/>
      <c r="G191" s="803"/>
      <c r="H191" s="803"/>
      <c r="I191" s="355"/>
      <c r="J191" s="351"/>
      <c r="K191" s="367"/>
      <c r="L191" s="486"/>
      <c r="M191" s="1088"/>
      <c r="N191" s="486"/>
      <c r="O191" s="486"/>
      <c r="P191" s="486"/>
      <c r="Q191" s="486"/>
      <c r="R191" s="486"/>
      <c r="S191" s="486"/>
      <c r="T191" s="486"/>
      <c r="U191" s="837"/>
      <c r="V191" s="356">
        <v>200000</v>
      </c>
      <c r="W191" s="356"/>
      <c r="X191" s="356"/>
      <c r="Y191" s="356"/>
      <c r="Z191" s="387"/>
      <c r="AA191" s="356"/>
      <c r="AB191" s="358"/>
      <c r="AC191" s="388"/>
      <c r="AD191" s="388"/>
      <c r="AE191" s="388"/>
      <c r="AF191" s="388"/>
      <c r="AG191" s="388"/>
      <c r="AH191" s="388"/>
      <c r="AI191" s="388"/>
      <c r="AJ191" s="388"/>
      <c r="AK191" s="438"/>
      <c r="AL191" s="436"/>
      <c r="AM191" s="881">
        <f t="shared" si="55"/>
        <v>200000</v>
      </c>
      <c r="AN191" s="1162"/>
    </row>
    <row r="192" spans="1:40" s="381" customFormat="1" ht="21.75" thickBot="1" x14ac:dyDescent="0.4">
      <c r="A192" s="1171" t="s">
        <v>27</v>
      </c>
      <c r="B192" s="1191" t="s">
        <v>24</v>
      </c>
      <c r="C192" s="485"/>
      <c r="D192" s="447"/>
      <c r="E192" s="468">
        <f>SUM(E139:E191)</f>
        <v>412500</v>
      </c>
      <c r="F192" s="448">
        <f t="shared" ref="F192:AK192" si="65">SUM(F139:F191)</f>
        <v>60000</v>
      </c>
      <c r="G192" s="448">
        <f t="shared" si="65"/>
        <v>60000</v>
      </c>
      <c r="H192" s="448">
        <f t="shared" si="65"/>
        <v>30000</v>
      </c>
      <c r="I192" s="448">
        <f t="shared" si="65"/>
        <v>30030</v>
      </c>
      <c r="J192" s="449">
        <f t="shared" si="65"/>
        <v>180030</v>
      </c>
      <c r="K192" s="611">
        <f t="shared" si="65"/>
        <v>200400</v>
      </c>
      <c r="L192" s="802">
        <f t="shared" si="65"/>
        <v>100000</v>
      </c>
      <c r="M192" s="802">
        <f t="shared" si="65"/>
        <v>2000</v>
      </c>
      <c r="N192" s="802">
        <f t="shared" si="65"/>
        <v>5000</v>
      </c>
      <c r="O192" s="802">
        <f t="shared" si="65"/>
        <v>0</v>
      </c>
      <c r="P192" s="802">
        <f t="shared" si="65"/>
        <v>1500</v>
      </c>
      <c r="Q192" s="802">
        <f t="shared" si="65"/>
        <v>100000</v>
      </c>
      <c r="R192" s="802">
        <f t="shared" si="65"/>
        <v>0</v>
      </c>
      <c r="S192" s="802">
        <f t="shared" si="65"/>
        <v>0</v>
      </c>
      <c r="T192" s="802">
        <f t="shared" si="65"/>
        <v>0</v>
      </c>
      <c r="U192" s="837">
        <f t="shared" si="65"/>
        <v>0</v>
      </c>
      <c r="V192" s="802">
        <f t="shared" si="65"/>
        <v>1412500</v>
      </c>
      <c r="W192" s="802">
        <f t="shared" si="65"/>
        <v>129770</v>
      </c>
      <c r="X192" s="802">
        <f t="shared" si="65"/>
        <v>135060</v>
      </c>
      <c r="Y192" s="802">
        <f t="shared" si="65"/>
        <v>101280</v>
      </c>
      <c r="Z192" s="802">
        <f t="shared" si="65"/>
        <v>133290</v>
      </c>
      <c r="AA192" s="817">
        <f t="shared" si="65"/>
        <v>120170</v>
      </c>
      <c r="AB192" s="1044">
        <f t="shared" si="65"/>
        <v>3390800</v>
      </c>
      <c r="AC192" s="802">
        <f t="shared" si="65"/>
        <v>400000</v>
      </c>
      <c r="AD192" s="802">
        <f t="shared" si="65"/>
        <v>75000</v>
      </c>
      <c r="AE192" s="802">
        <f t="shared" si="65"/>
        <v>55000</v>
      </c>
      <c r="AF192" s="802">
        <f t="shared" si="65"/>
        <v>11622</v>
      </c>
      <c r="AG192" s="802">
        <f t="shared" si="65"/>
        <v>1500</v>
      </c>
      <c r="AH192" s="802">
        <f t="shared" si="65"/>
        <v>450000</v>
      </c>
      <c r="AI192" s="802">
        <f t="shared" si="65"/>
        <v>0</v>
      </c>
      <c r="AJ192" s="802">
        <f t="shared" si="65"/>
        <v>0</v>
      </c>
      <c r="AK192" s="1044">
        <f t="shared" si="65"/>
        <v>0</v>
      </c>
      <c r="AL192" s="450"/>
      <c r="AM192" s="451">
        <f>SUM(AM139:AM191)</f>
        <v>1001430</v>
      </c>
      <c r="AN192" s="1007"/>
    </row>
    <row r="193" spans="1:40" s="381" customFormat="1" ht="21.75" thickBot="1" x14ac:dyDescent="0.4">
      <c r="A193" s="996" t="s">
        <v>28</v>
      </c>
      <c r="B193" s="1008">
        <v>1112</v>
      </c>
      <c r="C193" s="1009" t="s">
        <v>151</v>
      </c>
      <c r="D193" s="1010" t="s">
        <v>152</v>
      </c>
      <c r="E193" s="991">
        <v>0</v>
      </c>
      <c r="F193" s="1000">
        <v>0</v>
      </c>
      <c r="G193" s="992">
        <v>0</v>
      </c>
      <c r="H193" s="992">
        <v>0</v>
      </c>
      <c r="I193" s="992">
        <v>0</v>
      </c>
      <c r="J193" s="666">
        <f>SUM(F193:I193)</f>
        <v>0</v>
      </c>
      <c r="K193" s="993">
        <v>0</v>
      </c>
      <c r="L193" s="994">
        <v>0</v>
      </c>
      <c r="M193" s="994">
        <v>0</v>
      </c>
      <c r="N193" s="994">
        <v>0</v>
      </c>
      <c r="O193" s="994">
        <f>AF193-AL193</f>
        <v>0</v>
      </c>
      <c r="P193" s="994">
        <v>0</v>
      </c>
      <c r="Q193" s="994">
        <v>0</v>
      </c>
      <c r="R193" s="994">
        <v>0</v>
      </c>
      <c r="S193" s="994">
        <v>0</v>
      </c>
      <c r="T193" s="994">
        <v>0</v>
      </c>
      <c r="U193" s="837"/>
      <c r="V193" s="991">
        <v>0</v>
      </c>
      <c r="W193" s="992">
        <v>0</v>
      </c>
      <c r="X193" s="992">
        <v>0</v>
      </c>
      <c r="Y193" s="992">
        <v>0</v>
      </c>
      <c r="Z193" s="1001">
        <v>0</v>
      </c>
      <c r="AA193" s="992">
        <f>SUM(W193:Z193)</f>
        <v>0</v>
      </c>
      <c r="AB193" s="993">
        <v>0</v>
      </c>
      <c r="AC193" s="994">
        <v>0</v>
      </c>
      <c r="AD193" s="994">
        <v>0</v>
      </c>
      <c r="AE193" s="994">
        <v>0</v>
      </c>
      <c r="AF193" s="994">
        <v>4470</v>
      </c>
      <c r="AG193" s="994">
        <v>0</v>
      </c>
      <c r="AH193" s="994">
        <v>0</v>
      </c>
      <c r="AI193" s="994">
        <v>0</v>
      </c>
      <c r="AJ193" s="994">
        <v>0</v>
      </c>
      <c r="AK193" s="994">
        <v>0</v>
      </c>
      <c r="AL193" s="995">
        <v>4470</v>
      </c>
      <c r="AM193" s="670">
        <f t="shared" ref="AM193:AM206" si="66">(V193+W193+X193+Y193+Z193+AB193+AC193+AD193+AE193+AF193+AG193+AH193+AI193+AJ193+AK193)-AL193</f>
        <v>0</v>
      </c>
      <c r="AN193" s="879" t="s">
        <v>450</v>
      </c>
    </row>
    <row r="194" spans="1:40" s="379" customFormat="1" ht="21.75" thickBot="1" x14ac:dyDescent="0.4">
      <c r="A194" s="845" t="s">
        <v>28</v>
      </c>
      <c r="B194" s="693">
        <v>1189</v>
      </c>
      <c r="C194" s="971" t="s">
        <v>161</v>
      </c>
      <c r="D194" s="972" t="s">
        <v>163</v>
      </c>
      <c r="E194" s="973"/>
      <c r="F194" s="968"/>
      <c r="G194" s="959"/>
      <c r="H194" s="959"/>
      <c r="I194" s="959"/>
      <c r="J194" s="666"/>
      <c r="K194" s="961"/>
      <c r="L194" s="962"/>
      <c r="M194" s="962"/>
      <c r="N194" s="962"/>
      <c r="O194" s="962">
        <f>AF194-AL194</f>
        <v>0</v>
      </c>
      <c r="P194" s="962"/>
      <c r="Q194" s="962"/>
      <c r="R194" s="962"/>
      <c r="S194" s="962"/>
      <c r="T194" s="962"/>
      <c r="U194" s="837"/>
      <c r="V194" s="973"/>
      <c r="W194" s="959"/>
      <c r="X194" s="959"/>
      <c r="Y194" s="959"/>
      <c r="Z194" s="974"/>
      <c r="AA194" s="666"/>
      <c r="AB194" s="961"/>
      <c r="AC194" s="962"/>
      <c r="AD194" s="962"/>
      <c r="AE194" s="962"/>
      <c r="AF194" s="962">
        <v>14900</v>
      </c>
      <c r="AG194" s="962"/>
      <c r="AH194" s="962"/>
      <c r="AI194" s="962"/>
      <c r="AJ194" s="962"/>
      <c r="AK194" s="962"/>
      <c r="AL194" s="975">
        <v>14900</v>
      </c>
      <c r="AM194" s="966">
        <f t="shared" si="66"/>
        <v>0</v>
      </c>
      <c r="AN194" s="967" t="s">
        <v>303</v>
      </c>
    </row>
    <row r="195" spans="1:40" s="379" customFormat="1" ht="21.75" thickBot="1" x14ac:dyDescent="0.4">
      <c r="A195" s="845" t="s">
        <v>28</v>
      </c>
      <c r="B195" s="693">
        <v>1172</v>
      </c>
      <c r="C195" s="971" t="s">
        <v>166</v>
      </c>
      <c r="D195" s="972" t="s">
        <v>167</v>
      </c>
      <c r="E195" s="973"/>
      <c r="F195" s="968"/>
      <c r="G195" s="959"/>
      <c r="H195" s="959"/>
      <c r="I195" s="959"/>
      <c r="J195" s="666"/>
      <c r="K195" s="961">
        <f>AB195-AL195</f>
        <v>0</v>
      </c>
      <c r="L195" s="962"/>
      <c r="M195" s="962"/>
      <c r="N195" s="962"/>
      <c r="O195" s="962"/>
      <c r="P195" s="962"/>
      <c r="Q195" s="962"/>
      <c r="R195" s="962"/>
      <c r="S195" s="962"/>
      <c r="T195" s="962"/>
      <c r="U195" s="837"/>
      <c r="V195" s="973"/>
      <c r="W195" s="959"/>
      <c r="X195" s="959"/>
      <c r="Y195" s="959"/>
      <c r="Z195" s="974"/>
      <c r="AA195" s="666"/>
      <c r="AB195" s="961">
        <v>93200</v>
      </c>
      <c r="AC195" s="962"/>
      <c r="AD195" s="962"/>
      <c r="AE195" s="962"/>
      <c r="AF195" s="962"/>
      <c r="AG195" s="962"/>
      <c r="AH195" s="962"/>
      <c r="AI195" s="962"/>
      <c r="AJ195" s="962"/>
      <c r="AK195" s="962"/>
      <c r="AL195" s="975">
        <f>48000+45200</f>
        <v>93200</v>
      </c>
      <c r="AM195" s="966">
        <f t="shared" si="66"/>
        <v>0</v>
      </c>
      <c r="AN195" s="967" t="s">
        <v>403</v>
      </c>
    </row>
    <row r="196" spans="1:40" s="379" customFormat="1" ht="21.75" thickBot="1" x14ac:dyDescent="0.4">
      <c r="A196" s="845" t="s">
        <v>28</v>
      </c>
      <c r="B196" s="693">
        <v>1192</v>
      </c>
      <c r="C196" s="971" t="s">
        <v>177</v>
      </c>
      <c r="D196" s="972" t="s">
        <v>181</v>
      </c>
      <c r="E196" s="973"/>
      <c r="F196" s="968"/>
      <c r="G196" s="959"/>
      <c r="H196" s="959"/>
      <c r="I196" s="959"/>
      <c r="J196" s="666"/>
      <c r="K196" s="961"/>
      <c r="L196" s="962"/>
      <c r="M196" s="962"/>
      <c r="N196" s="962"/>
      <c r="O196" s="962">
        <f>AF196-AL196</f>
        <v>0</v>
      </c>
      <c r="P196" s="962"/>
      <c r="Q196" s="962"/>
      <c r="R196" s="962"/>
      <c r="S196" s="962"/>
      <c r="T196" s="962"/>
      <c r="U196" s="837"/>
      <c r="V196" s="973"/>
      <c r="W196" s="959"/>
      <c r="X196" s="959"/>
      <c r="Y196" s="959"/>
      <c r="Z196" s="974"/>
      <c r="AA196" s="666"/>
      <c r="AB196" s="961"/>
      <c r="AC196" s="962"/>
      <c r="AD196" s="962"/>
      <c r="AE196" s="962"/>
      <c r="AF196" s="962">
        <v>166</v>
      </c>
      <c r="AG196" s="962"/>
      <c r="AH196" s="962"/>
      <c r="AI196" s="962"/>
      <c r="AJ196" s="962"/>
      <c r="AK196" s="962"/>
      <c r="AL196" s="975">
        <v>166</v>
      </c>
      <c r="AM196" s="966">
        <f t="shared" si="66"/>
        <v>0</v>
      </c>
      <c r="AN196" s="967" t="s">
        <v>217</v>
      </c>
    </row>
    <row r="197" spans="1:40" s="31" customFormat="1" ht="21.75" thickBot="1" x14ac:dyDescent="0.4">
      <c r="A197" s="845" t="s">
        <v>28</v>
      </c>
      <c r="B197" s="693">
        <v>1193</v>
      </c>
      <c r="C197" s="971" t="s">
        <v>177</v>
      </c>
      <c r="D197" s="972" t="s">
        <v>181</v>
      </c>
      <c r="E197" s="973"/>
      <c r="F197" s="968"/>
      <c r="G197" s="959">
        <v>0</v>
      </c>
      <c r="H197" s="959">
        <v>0</v>
      </c>
      <c r="I197" s="959">
        <v>0</v>
      </c>
      <c r="J197" s="666"/>
      <c r="K197" s="961"/>
      <c r="L197" s="962"/>
      <c r="M197" s="962">
        <v>0</v>
      </c>
      <c r="N197" s="962">
        <f>AE197-AL197</f>
        <v>0</v>
      </c>
      <c r="O197" s="962"/>
      <c r="P197" s="962"/>
      <c r="Q197" s="962"/>
      <c r="R197" s="962"/>
      <c r="S197" s="962"/>
      <c r="T197" s="962"/>
      <c r="U197" s="837"/>
      <c r="V197" s="973"/>
      <c r="W197" s="959"/>
      <c r="X197" s="959"/>
      <c r="Y197" s="959"/>
      <c r="Z197" s="974"/>
      <c r="AA197" s="666"/>
      <c r="AB197" s="961"/>
      <c r="AC197" s="962"/>
      <c r="AD197" s="962"/>
      <c r="AE197" s="962">
        <v>20000</v>
      </c>
      <c r="AF197" s="962"/>
      <c r="AG197" s="962"/>
      <c r="AH197" s="962"/>
      <c r="AI197" s="962"/>
      <c r="AJ197" s="962"/>
      <c r="AK197" s="962"/>
      <c r="AL197" s="975">
        <f>728+19272</f>
        <v>20000</v>
      </c>
      <c r="AM197" s="966">
        <f t="shared" si="66"/>
        <v>0</v>
      </c>
      <c r="AN197" s="967" t="s">
        <v>404</v>
      </c>
    </row>
    <row r="198" spans="1:40" s="30" customFormat="1" ht="16.5" customHeight="1" thickBot="1" x14ac:dyDescent="0.4">
      <c r="A198" s="845" t="s">
        <v>28</v>
      </c>
      <c r="B198" s="693">
        <v>1217</v>
      </c>
      <c r="C198" s="971">
        <v>44907</v>
      </c>
      <c r="D198" s="972">
        <v>44972</v>
      </c>
      <c r="E198" s="959"/>
      <c r="F198" s="968">
        <f>W198-AK198</f>
        <v>0</v>
      </c>
      <c r="G198" s="959">
        <f>X198-AL198</f>
        <v>0</v>
      </c>
      <c r="H198" s="959"/>
      <c r="I198" s="959"/>
      <c r="J198" s="666">
        <f>SUM(F198:I198)</f>
        <v>0</v>
      </c>
      <c r="K198" s="961">
        <f>AB198-AP412</f>
        <v>0</v>
      </c>
      <c r="L198" s="962"/>
      <c r="M198" s="962"/>
      <c r="N198" s="962"/>
      <c r="O198" s="962"/>
      <c r="P198" s="962"/>
      <c r="Q198" s="962"/>
      <c r="R198" s="962"/>
      <c r="S198" s="962"/>
      <c r="T198" s="962"/>
      <c r="U198" s="837"/>
      <c r="V198" s="959"/>
      <c r="W198" s="959"/>
      <c r="X198" s="959">
        <v>60000</v>
      </c>
      <c r="Y198" s="959"/>
      <c r="Z198" s="974"/>
      <c r="AA198" s="666">
        <f>SUM(W198:Z198)</f>
        <v>60000</v>
      </c>
      <c r="AB198" s="961"/>
      <c r="AC198" s="962"/>
      <c r="AD198" s="962"/>
      <c r="AE198" s="962"/>
      <c r="AF198" s="962"/>
      <c r="AG198" s="962"/>
      <c r="AH198" s="962"/>
      <c r="AI198" s="962"/>
      <c r="AJ198" s="962"/>
      <c r="AK198" s="964"/>
      <c r="AL198" s="965">
        <f>59760+240</f>
        <v>60000</v>
      </c>
      <c r="AM198" s="966">
        <f t="shared" si="66"/>
        <v>0</v>
      </c>
      <c r="AN198" s="967" t="s">
        <v>405</v>
      </c>
    </row>
    <row r="199" spans="1:40" s="39" customFormat="1" ht="21.75" thickBot="1" x14ac:dyDescent="0.4">
      <c r="A199" s="675" t="s">
        <v>28</v>
      </c>
      <c r="B199" s="661">
        <v>3232</v>
      </c>
      <c r="C199" s="662">
        <v>45089</v>
      </c>
      <c r="D199" s="672" t="s">
        <v>195</v>
      </c>
      <c r="E199" s="665"/>
      <c r="F199" s="798">
        <f>W199-AK199</f>
        <v>0</v>
      </c>
      <c r="G199" s="665">
        <v>0</v>
      </c>
      <c r="H199" s="665">
        <v>0</v>
      </c>
      <c r="I199" s="665">
        <f>Z199-AL199</f>
        <v>0</v>
      </c>
      <c r="J199" s="666">
        <f>SUM(F199:I199)</f>
        <v>0</v>
      </c>
      <c r="K199" s="667">
        <v>0</v>
      </c>
      <c r="L199" s="655"/>
      <c r="M199" s="655"/>
      <c r="N199" s="655"/>
      <c r="O199" s="655"/>
      <c r="P199" s="655"/>
      <c r="Q199" s="655"/>
      <c r="R199" s="655"/>
      <c r="S199" s="655"/>
      <c r="T199" s="655"/>
      <c r="U199" s="837"/>
      <c r="V199" s="665"/>
      <c r="W199" s="665"/>
      <c r="X199" s="665"/>
      <c r="Y199" s="665"/>
      <c r="Z199" s="686">
        <v>21240</v>
      </c>
      <c r="AA199" s="666">
        <f>SUM(W199:Z199)</f>
        <v>21240</v>
      </c>
      <c r="AB199" s="667"/>
      <c r="AC199" s="655"/>
      <c r="AD199" s="655"/>
      <c r="AE199" s="655"/>
      <c r="AF199" s="655"/>
      <c r="AG199" s="655"/>
      <c r="AH199" s="655"/>
      <c r="AI199" s="655"/>
      <c r="AJ199" s="655"/>
      <c r="AK199" s="790"/>
      <c r="AL199" s="669">
        <v>21240</v>
      </c>
      <c r="AM199" s="791">
        <f t="shared" si="66"/>
        <v>0</v>
      </c>
      <c r="AN199" s="677" t="s">
        <v>278</v>
      </c>
    </row>
    <row r="200" spans="1:40" s="39" customFormat="1" ht="21.75" thickBot="1" x14ac:dyDescent="0.4">
      <c r="A200" s="675" t="s">
        <v>28</v>
      </c>
      <c r="B200" s="661">
        <v>3232</v>
      </c>
      <c r="C200" s="662" t="s">
        <v>196</v>
      </c>
      <c r="D200" s="672" t="s">
        <v>195</v>
      </c>
      <c r="E200" s="665"/>
      <c r="F200" s="798">
        <v>0</v>
      </c>
      <c r="G200" s="665">
        <v>0</v>
      </c>
      <c r="H200" s="665">
        <f>Y200-AL200</f>
        <v>0</v>
      </c>
      <c r="I200" s="665">
        <v>0</v>
      </c>
      <c r="J200" s="666">
        <f>SUM(F200:I200)</f>
        <v>0</v>
      </c>
      <c r="K200" s="667">
        <v>0</v>
      </c>
      <c r="L200" s="655"/>
      <c r="M200" s="655"/>
      <c r="N200" s="655"/>
      <c r="O200" s="655"/>
      <c r="P200" s="655"/>
      <c r="Q200" s="655"/>
      <c r="R200" s="655"/>
      <c r="S200" s="655"/>
      <c r="T200" s="655"/>
      <c r="U200" s="837"/>
      <c r="V200" s="665">
        <v>0</v>
      </c>
      <c r="W200" s="665">
        <v>0</v>
      </c>
      <c r="X200" s="665">
        <v>0</v>
      </c>
      <c r="Y200" s="665">
        <v>7710</v>
      </c>
      <c r="Z200" s="686"/>
      <c r="AA200" s="666">
        <f>SUM(W200:Z200)</f>
        <v>7710</v>
      </c>
      <c r="AB200" s="667"/>
      <c r="AC200" s="655"/>
      <c r="AD200" s="655"/>
      <c r="AE200" s="655"/>
      <c r="AF200" s="655"/>
      <c r="AG200" s="655"/>
      <c r="AH200" s="655"/>
      <c r="AI200" s="655"/>
      <c r="AJ200" s="655"/>
      <c r="AK200" s="790"/>
      <c r="AL200" s="669">
        <v>7710</v>
      </c>
      <c r="AM200" s="791">
        <f t="shared" si="66"/>
        <v>0</v>
      </c>
      <c r="AN200" s="677" t="s">
        <v>278</v>
      </c>
    </row>
    <row r="201" spans="1:40" s="39" customFormat="1" ht="21.75" thickBot="1" x14ac:dyDescent="0.4">
      <c r="A201" s="675" t="s">
        <v>28</v>
      </c>
      <c r="B201" s="661">
        <v>3232</v>
      </c>
      <c r="C201" s="662" t="s">
        <v>196</v>
      </c>
      <c r="D201" s="672" t="s">
        <v>195</v>
      </c>
      <c r="E201" s="665"/>
      <c r="F201" s="798">
        <f>W201-AK201</f>
        <v>0</v>
      </c>
      <c r="G201" s="665">
        <f>X201-AL201</f>
        <v>0</v>
      </c>
      <c r="H201" s="665">
        <v>0</v>
      </c>
      <c r="I201" s="665">
        <v>0</v>
      </c>
      <c r="J201" s="666">
        <f>SUM(F201:I201)</f>
        <v>0</v>
      </c>
      <c r="K201" s="667">
        <v>0</v>
      </c>
      <c r="L201" s="655"/>
      <c r="M201" s="655"/>
      <c r="N201" s="655"/>
      <c r="O201" s="655"/>
      <c r="P201" s="655"/>
      <c r="Q201" s="655"/>
      <c r="R201" s="655"/>
      <c r="S201" s="655"/>
      <c r="T201" s="655"/>
      <c r="U201" s="837"/>
      <c r="V201" s="665"/>
      <c r="W201" s="665"/>
      <c r="X201" s="665">
        <v>11700</v>
      </c>
      <c r="Y201" s="665"/>
      <c r="Z201" s="686"/>
      <c r="AA201" s="666">
        <f>SUM(W201:Z201)</f>
        <v>11700</v>
      </c>
      <c r="AB201" s="667"/>
      <c r="AC201" s="655"/>
      <c r="AD201" s="655"/>
      <c r="AE201" s="655"/>
      <c r="AF201" s="655"/>
      <c r="AG201" s="655"/>
      <c r="AH201" s="655"/>
      <c r="AI201" s="655"/>
      <c r="AJ201" s="655"/>
      <c r="AK201" s="790"/>
      <c r="AL201" s="669">
        <v>11700</v>
      </c>
      <c r="AM201" s="791">
        <f t="shared" si="66"/>
        <v>0</v>
      </c>
      <c r="AN201" s="677" t="s">
        <v>278</v>
      </c>
    </row>
    <row r="202" spans="1:40" s="350" customFormat="1" ht="18" customHeight="1" thickBot="1" x14ac:dyDescent="0.4">
      <c r="A202" s="675" t="s">
        <v>28</v>
      </c>
      <c r="B202" s="661">
        <v>3259</v>
      </c>
      <c r="C202" s="662" t="s">
        <v>193</v>
      </c>
      <c r="D202" s="672" t="s">
        <v>187</v>
      </c>
      <c r="E202" s="665"/>
      <c r="F202" s="798"/>
      <c r="G202" s="665"/>
      <c r="H202" s="665"/>
      <c r="I202" s="665"/>
      <c r="J202" s="666"/>
      <c r="K202" s="667">
        <f>AB202-AL202</f>
        <v>0</v>
      </c>
      <c r="L202" s="655"/>
      <c r="M202" s="655"/>
      <c r="N202" s="655"/>
      <c r="O202" s="655"/>
      <c r="P202" s="655"/>
      <c r="Q202" s="655"/>
      <c r="R202" s="655"/>
      <c r="S202" s="655"/>
      <c r="T202" s="655"/>
      <c r="U202" s="837"/>
      <c r="V202" s="665"/>
      <c r="W202" s="665"/>
      <c r="X202" s="665"/>
      <c r="Y202" s="665"/>
      <c r="Z202" s="686"/>
      <c r="AA202" s="666"/>
      <c r="AB202" s="667">
        <v>520000</v>
      </c>
      <c r="AC202" s="655"/>
      <c r="AD202" s="655"/>
      <c r="AE202" s="655"/>
      <c r="AF202" s="655"/>
      <c r="AG202" s="655"/>
      <c r="AH202" s="655"/>
      <c r="AI202" s="655"/>
      <c r="AJ202" s="655"/>
      <c r="AK202" s="790"/>
      <c r="AL202" s="669">
        <v>520000</v>
      </c>
      <c r="AM202" s="791">
        <f t="shared" si="66"/>
        <v>0</v>
      </c>
      <c r="AN202" s="677" t="s">
        <v>279</v>
      </c>
    </row>
    <row r="203" spans="1:40" s="381" customFormat="1" ht="21.75" thickBot="1" x14ac:dyDescent="0.4">
      <c r="A203" s="455" t="s">
        <v>28</v>
      </c>
      <c r="B203" s="456">
        <v>3259</v>
      </c>
      <c r="C203" s="457" t="s">
        <v>193</v>
      </c>
      <c r="D203" s="458" t="s">
        <v>187</v>
      </c>
      <c r="E203" s="459"/>
      <c r="F203" s="799">
        <f>W203-AL203</f>
        <v>105000</v>
      </c>
      <c r="G203" s="459"/>
      <c r="H203" s="459"/>
      <c r="I203" s="459"/>
      <c r="J203" s="384">
        <f>SUM(F203:I203)</f>
        <v>105000</v>
      </c>
      <c r="K203" s="787"/>
      <c r="L203" s="460"/>
      <c r="M203" s="460"/>
      <c r="N203" s="460"/>
      <c r="O203" s="460"/>
      <c r="P203" s="460"/>
      <c r="Q203" s="460"/>
      <c r="R203" s="460"/>
      <c r="S203" s="460"/>
      <c r="T203" s="460"/>
      <c r="U203" s="837"/>
      <c r="V203" s="461"/>
      <c r="W203" s="461">
        <v>105000</v>
      </c>
      <c r="X203" s="461"/>
      <c r="Y203" s="461"/>
      <c r="Z203" s="466"/>
      <c r="AA203" s="353">
        <f>SUM(W203:Z203)</f>
        <v>105000</v>
      </c>
      <c r="AB203" s="462"/>
      <c r="AC203" s="463"/>
      <c r="AD203" s="463"/>
      <c r="AE203" s="463"/>
      <c r="AF203" s="463"/>
      <c r="AG203" s="463"/>
      <c r="AH203" s="463"/>
      <c r="AI203" s="463"/>
      <c r="AJ203" s="463"/>
      <c r="AK203" s="469"/>
      <c r="AL203" s="881">
        <v>0</v>
      </c>
      <c r="AM203" s="390">
        <f t="shared" si="66"/>
        <v>105000</v>
      </c>
      <c r="AN203" s="882" t="s">
        <v>198</v>
      </c>
    </row>
    <row r="204" spans="1:40" s="39" customFormat="1" ht="21.75" thickBot="1" x14ac:dyDescent="0.4">
      <c r="A204" s="455" t="s">
        <v>28</v>
      </c>
      <c r="B204" s="456">
        <v>3259</v>
      </c>
      <c r="C204" s="457" t="s">
        <v>193</v>
      </c>
      <c r="D204" s="458" t="s">
        <v>187</v>
      </c>
      <c r="E204" s="459"/>
      <c r="F204" s="459"/>
      <c r="G204" s="383">
        <f>X204-AL204</f>
        <v>96000</v>
      </c>
      <c r="H204" s="459"/>
      <c r="I204" s="459"/>
      <c r="J204" s="384">
        <f>SUM(F204:I204)</f>
        <v>96000</v>
      </c>
      <c r="K204" s="787"/>
      <c r="L204" s="460"/>
      <c r="M204" s="460"/>
      <c r="N204" s="460"/>
      <c r="O204" s="460"/>
      <c r="P204" s="460"/>
      <c r="Q204" s="460"/>
      <c r="R204" s="460"/>
      <c r="S204" s="460"/>
      <c r="T204" s="460"/>
      <c r="U204" s="837"/>
      <c r="V204" s="461"/>
      <c r="W204" s="461"/>
      <c r="X204" s="461">
        <v>96000</v>
      </c>
      <c r="Y204" s="461"/>
      <c r="Z204" s="466"/>
      <c r="AA204" s="353">
        <f>SUM(W204:Z204)</f>
        <v>96000</v>
      </c>
      <c r="AB204" s="462"/>
      <c r="AC204" s="463"/>
      <c r="AD204" s="463"/>
      <c r="AE204" s="463"/>
      <c r="AF204" s="463"/>
      <c r="AG204" s="463"/>
      <c r="AH204" s="463"/>
      <c r="AI204" s="463"/>
      <c r="AJ204" s="463"/>
      <c r="AK204" s="469"/>
      <c r="AL204" s="881">
        <v>0</v>
      </c>
      <c r="AM204" s="390">
        <f t="shared" si="66"/>
        <v>96000</v>
      </c>
      <c r="AN204" s="882" t="s">
        <v>198</v>
      </c>
    </row>
    <row r="205" spans="1:40" s="350" customFormat="1" ht="18.75" customHeight="1" thickBot="1" x14ac:dyDescent="0.4">
      <c r="A205" s="850" t="s">
        <v>28</v>
      </c>
      <c r="B205" s="846">
        <v>3260</v>
      </c>
      <c r="C205" s="847" t="s">
        <v>193</v>
      </c>
      <c r="D205" s="849" t="s">
        <v>187</v>
      </c>
      <c r="E205" s="665"/>
      <c r="F205" s="798">
        <f>W205-AK205</f>
        <v>0</v>
      </c>
      <c r="G205" s="665"/>
      <c r="H205" s="665"/>
      <c r="I205" s="665">
        <f>Z205-AL205</f>
        <v>0</v>
      </c>
      <c r="J205" s="666"/>
      <c r="K205" s="667"/>
      <c r="L205" s="655"/>
      <c r="M205" s="655"/>
      <c r="N205" s="655"/>
      <c r="O205" s="655"/>
      <c r="P205" s="655"/>
      <c r="Q205" s="655"/>
      <c r="R205" s="655"/>
      <c r="S205" s="655"/>
      <c r="T205" s="655"/>
      <c r="U205" s="837"/>
      <c r="V205" s="665"/>
      <c r="W205" s="665"/>
      <c r="X205" s="665"/>
      <c r="Y205" s="665"/>
      <c r="Z205" s="686">
        <v>66300</v>
      </c>
      <c r="AA205" s="666">
        <f>SUM(W205:Z205)</f>
        <v>66300</v>
      </c>
      <c r="AB205" s="667"/>
      <c r="AC205" s="655"/>
      <c r="AD205" s="655"/>
      <c r="AE205" s="655"/>
      <c r="AF205" s="655"/>
      <c r="AG205" s="655"/>
      <c r="AH205" s="655"/>
      <c r="AI205" s="655"/>
      <c r="AJ205" s="655"/>
      <c r="AK205" s="790"/>
      <c r="AL205" s="669">
        <v>66300</v>
      </c>
      <c r="AM205" s="791">
        <f t="shared" si="66"/>
        <v>0</v>
      </c>
      <c r="AN205" s="852" t="s">
        <v>353</v>
      </c>
    </row>
    <row r="206" spans="1:40" s="350" customFormat="1" ht="17.25" customHeight="1" thickBot="1" x14ac:dyDescent="0.4">
      <c r="A206" s="850" t="s">
        <v>28</v>
      </c>
      <c r="B206" s="846">
        <v>3260</v>
      </c>
      <c r="C206" s="847" t="s">
        <v>193</v>
      </c>
      <c r="D206" s="849" t="s">
        <v>187</v>
      </c>
      <c r="E206" s="665"/>
      <c r="F206" s="798">
        <v>0</v>
      </c>
      <c r="G206" s="665"/>
      <c r="H206" s="665">
        <f>Y206-AL206</f>
        <v>0</v>
      </c>
      <c r="I206" s="665">
        <v>0</v>
      </c>
      <c r="J206" s="666">
        <f>SUM(F206:I206)</f>
        <v>0</v>
      </c>
      <c r="K206" s="667"/>
      <c r="L206" s="655"/>
      <c r="M206" s="655"/>
      <c r="N206" s="655"/>
      <c r="O206" s="655"/>
      <c r="P206" s="655"/>
      <c r="Q206" s="655"/>
      <c r="R206" s="655"/>
      <c r="S206" s="655"/>
      <c r="T206" s="655"/>
      <c r="U206" s="837"/>
      <c r="V206" s="665">
        <v>0</v>
      </c>
      <c r="W206" s="665">
        <v>0</v>
      </c>
      <c r="X206" s="665">
        <v>0</v>
      </c>
      <c r="Y206" s="665">
        <v>76500</v>
      </c>
      <c r="Z206" s="686"/>
      <c r="AA206" s="666">
        <f>SUM(W206:Z206)</f>
        <v>76500</v>
      </c>
      <c r="AB206" s="667"/>
      <c r="AC206" s="655"/>
      <c r="AD206" s="655"/>
      <c r="AE206" s="655"/>
      <c r="AF206" s="655"/>
      <c r="AG206" s="655"/>
      <c r="AH206" s="655"/>
      <c r="AI206" s="655"/>
      <c r="AJ206" s="655"/>
      <c r="AK206" s="790"/>
      <c r="AL206" s="669">
        <v>76500</v>
      </c>
      <c r="AM206" s="791">
        <f t="shared" si="66"/>
        <v>0</v>
      </c>
      <c r="AN206" s="852" t="s">
        <v>353</v>
      </c>
    </row>
    <row r="207" spans="1:40" s="39" customFormat="1" ht="21.75" thickBot="1" x14ac:dyDescent="0.4">
      <c r="A207" s="675" t="s">
        <v>28</v>
      </c>
      <c r="B207" s="661">
        <v>3261</v>
      </c>
      <c r="C207" s="662" t="s">
        <v>193</v>
      </c>
      <c r="D207" s="672" t="s">
        <v>187</v>
      </c>
      <c r="E207" s="665"/>
      <c r="F207" s="798">
        <f>W207-AK207</f>
        <v>0</v>
      </c>
      <c r="G207" s="665">
        <v>0</v>
      </c>
      <c r="H207" s="665">
        <v>0</v>
      </c>
      <c r="I207" s="665">
        <v>0</v>
      </c>
      <c r="J207" s="666"/>
      <c r="K207" s="671">
        <v>0</v>
      </c>
      <c r="L207" s="655"/>
      <c r="M207" s="654">
        <f>AD207-AL207</f>
        <v>0</v>
      </c>
      <c r="N207" s="655"/>
      <c r="O207" s="654">
        <v>0</v>
      </c>
      <c r="P207" s="655"/>
      <c r="Q207" s="655"/>
      <c r="R207" s="655"/>
      <c r="S207" s="655"/>
      <c r="T207" s="655"/>
      <c r="U207" s="837"/>
      <c r="V207" s="665"/>
      <c r="W207" s="665"/>
      <c r="X207" s="665"/>
      <c r="Y207" s="665"/>
      <c r="Z207" s="686"/>
      <c r="AA207" s="666">
        <f>SUM(W207:Z207)</f>
        <v>0</v>
      </c>
      <c r="AB207" s="667"/>
      <c r="AC207" s="655"/>
      <c r="AD207" s="655">
        <v>20000</v>
      </c>
      <c r="AE207" s="655"/>
      <c r="AF207" s="655"/>
      <c r="AG207" s="655"/>
      <c r="AH207" s="655"/>
      <c r="AI207" s="655"/>
      <c r="AJ207" s="655"/>
      <c r="AK207" s="687"/>
      <c r="AL207" s="669">
        <v>20000</v>
      </c>
      <c r="AM207" s="670">
        <f t="shared" ref="AM207:AM213" si="67">(V207+W207+X207+Y207+Z207+AB207+AC207+AD207+AE207+AF207+AG207+AH207+AI207+AJ207+AK207)-AL207</f>
        <v>0</v>
      </c>
      <c r="AN207" s="677" t="s">
        <v>242</v>
      </c>
    </row>
    <row r="208" spans="1:40" s="39" customFormat="1" ht="21.75" thickBot="1" x14ac:dyDescent="0.4">
      <c r="A208" s="675" t="s">
        <v>28</v>
      </c>
      <c r="B208" s="661">
        <v>3279</v>
      </c>
      <c r="C208" s="711" t="s">
        <v>205</v>
      </c>
      <c r="D208" s="712" t="s">
        <v>206</v>
      </c>
      <c r="E208" s="665"/>
      <c r="F208" s="798"/>
      <c r="G208" s="665"/>
      <c r="H208" s="665"/>
      <c r="I208" s="665"/>
      <c r="J208" s="666"/>
      <c r="K208" s="671">
        <f t="shared" ref="K208:K215" si="68">AB208-AL208</f>
        <v>0</v>
      </c>
      <c r="L208" s="655"/>
      <c r="M208" s="655"/>
      <c r="N208" s="655"/>
      <c r="O208" s="655"/>
      <c r="P208" s="655"/>
      <c r="Q208" s="655"/>
      <c r="R208" s="655"/>
      <c r="S208" s="655"/>
      <c r="T208" s="655"/>
      <c r="U208" s="837"/>
      <c r="V208" s="665"/>
      <c r="W208" s="665"/>
      <c r="X208" s="665"/>
      <c r="Y208" s="665"/>
      <c r="Z208" s="673"/>
      <c r="AA208" s="666"/>
      <c r="AB208" s="667">
        <v>175000</v>
      </c>
      <c r="AC208" s="655"/>
      <c r="AD208" s="655"/>
      <c r="AE208" s="655"/>
      <c r="AF208" s="655"/>
      <c r="AG208" s="655"/>
      <c r="AH208" s="655"/>
      <c r="AI208" s="655"/>
      <c r="AJ208" s="655"/>
      <c r="AK208" s="687"/>
      <c r="AL208" s="669">
        <v>175000</v>
      </c>
      <c r="AM208" s="670">
        <f t="shared" si="67"/>
        <v>0</v>
      </c>
      <c r="AN208" s="677" t="s">
        <v>244</v>
      </c>
    </row>
    <row r="209" spans="1:40" s="39" customFormat="1" ht="21.75" thickBot="1" x14ac:dyDescent="0.4">
      <c r="A209" s="675" t="s">
        <v>28</v>
      </c>
      <c r="B209" s="661">
        <v>3281</v>
      </c>
      <c r="C209" s="711" t="s">
        <v>205</v>
      </c>
      <c r="D209" s="712" t="s">
        <v>203</v>
      </c>
      <c r="E209" s="665"/>
      <c r="F209" s="798"/>
      <c r="G209" s="665"/>
      <c r="H209" s="665"/>
      <c r="I209" s="665"/>
      <c r="J209" s="666"/>
      <c r="K209" s="671">
        <f t="shared" si="68"/>
        <v>0</v>
      </c>
      <c r="L209" s="655"/>
      <c r="M209" s="655"/>
      <c r="N209" s="655"/>
      <c r="O209" s="655"/>
      <c r="P209" s="655"/>
      <c r="Q209" s="655"/>
      <c r="R209" s="655"/>
      <c r="S209" s="655"/>
      <c r="T209" s="655"/>
      <c r="U209" s="837"/>
      <c r="V209" s="665"/>
      <c r="W209" s="665"/>
      <c r="X209" s="665"/>
      <c r="Y209" s="665"/>
      <c r="Z209" s="673"/>
      <c r="AA209" s="666"/>
      <c r="AB209" s="667">
        <v>200000</v>
      </c>
      <c r="AC209" s="655"/>
      <c r="AD209" s="655"/>
      <c r="AE209" s="655"/>
      <c r="AF209" s="655"/>
      <c r="AG209" s="655"/>
      <c r="AH209" s="655"/>
      <c r="AI209" s="655"/>
      <c r="AJ209" s="655"/>
      <c r="AK209" s="687"/>
      <c r="AL209" s="669">
        <v>200000</v>
      </c>
      <c r="AM209" s="670">
        <f t="shared" si="67"/>
        <v>0</v>
      </c>
      <c r="AN209" s="677" t="s">
        <v>243</v>
      </c>
    </row>
    <row r="210" spans="1:40" s="350" customFormat="1" ht="21.75" thickBot="1" x14ac:dyDescent="0.4">
      <c r="A210" s="675" t="s">
        <v>28</v>
      </c>
      <c r="B210" s="661">
        <v>3281</v>
      </c>
      <c r="C210" s="711" t="s">
        <v>205</v>
      </c>
      <c r="D210" s="712" t="s">
        <v>203</v>
      </c>
      <c r="E210" s="665"/>
      <c r="F210" s="798"/>
      <c r="G210" s="665"/>
      <c r="H210" s="665"/>
      <c r="I210" s="665"/>
      <c r="J210" s="666"/>
      <c r="K210" s="671">
        <v>0</v>
      </c>
      <c r="L210" s="655"/>
      <c r="M210" s="655"/>
      <c r="N210" s="655"/>
      <c r="O210" s="655"/>
      <c r="P210" s="655"/>
      <c r="Q210" s="655">
        <f>AH210-AL210</f>
        <v>0</v>
      </c>
      <c r="R210" s="655"/>
      <c r="S210" s="655"/>
      <c r="T210" s="655"/>
      <c r="U210" s="837"/>
      <c r="V210" s="665"/>
      <c r="W210" s="665"/>
      <c r="X210" s="665"/>
      <c r="Y210" s="665"/>
      <c r="Z210" s="673"/>
      <c r="AA210" s="666"/>
      <c r="AB210" s="667"/>
      <c r="AC210" s="655"/>
      <c r="AD210" s="655"/>
      <c r="AE210" s="655"/>
      <c r="AF210" s="655"/>
      <c r="AG210" s="655"/>
      <c r="AH210" s="655">
        <v>200000</v>
      </c>
      <c r="AI210" s="655"/>
      <c r="AJ210" s="655"/>
      <c r="AK210" s="687"/>
      <c r="AL210" s="669">
        <v>200000</v>
      </c>
      <c r="AM210" s="670">
        <f t="shared" si="67"/>
        <v>0</v>
      </c>
      <c r="AN210" s="677" t="s">
        <v>245</v>
      </c>
    </row>
    <row r="211" spans="1:40" s="39" customFormat="1" ht="15.75" customHeight="1" thickBot="1" x14ac:dyDescent="0.4">
      <c r="A211" s="675" t="s">
        <v>28</v>
      </c>
      <c r="B211" s="661">
        <v>3283</v>
      </c>
      <c r="C211" s="711" t="s">
        <v>204</v>
      </c>
      <c r="D211" s="712" t="s">
        <v>207</v>
      </c>
      <c r="E211" s="664">
        <f>V211-AL211</f>
        <v>0</v>
      </c>
      <c r="F211" s="798"/>
      <c r="G211" s="665"/>
      <c r="H211" s="665"/>
      <c r="I211" s="665"/>
      <c r="J211" s="666"/>
      <c r="K211" s="671">
        <v>0</v>
      </c>
      <c r="L211" s="655"/>
      <c r="M211" s="655"/>
      <c r="N211" s="655"/>
      <c r="O211" s="655"/>
      <c r="P211" s="655"/>
      <c r="Q211" s="655"/>
      <c r="R211" s="655"/>
      <c r="S211" s="655"/>
      <c r="T211" s="655"/>
      <c r="U211" s="837"/>
      <c r="V211" s="665">
        <v>250000</v>
      </c>
      <c r="W211" s="665"/>
      <c r="X211" s="665"/>
      <c r="Y211" s="665"/>
      <c r="Z211" s="673"/>
      <c r="AA211" s="666"/>
      <c r="AB211" s="667"/>
      <c r="AC211" s="655"/>
      <c r="AD211" s="655"/>
      <c r="AE211" s="655"/>
      <c r="AF211" s="655"/>
      <c r="AG211" s="655"/>
      <c r="AH211" s="655"/>
      <c r="AI211" s="655"/>
      <c r="AJ211" s="655"/>
      <c r="AK211" s="687"/>
      <c r="AL211" s="669">
        <v>250000</v>
      </c>
      <c r="AM211" s="670">
        <f t="shared" si="67"/>
        <v>0</v>
      </c>
      <c r="AN211" s="677" t="s">
        <v>246</v>
      </c>
    </row>
    <row r="212" spans="1:40" s="39" customFormat="1" ht="21.75" thickBot="1" x14ac:dyDescent="0.4">
      <c r="A212" s="675" t="s">
        <v>28</v>
      </c>
      <c r="B212" s="661">
        <v>3285</v>
      </c>
      <c r="C212" s="711" t="s">
        <v>204</v>
      </c>
      <c r="D212" s="712" t="s">
        <v>203</v>
      </c>
      <c r="E212" s="665"/>
      <c r="F212" s="798"/>
      <c r="G212" s="665"/>
      <c r="H212" s="665"/>
      <c r="I212" s="665"/>
      <c r="J212" s="666"/>
      <c r="K212" s="667">
        <f t="shared" si="68"/>
        <v>0</v>
      </c>
      <c r="L212" s="655"/>
      <c r="M212" s="655"/>
      <c r="N212" s="655"/>
      <c r="O212" s="655"/>
      <c r="P212" s="655"/>
      <c r="Q212" s="655"/>
      <c r="R212" s="655"/>
      <c r="S212" s="655"/>
      <c r="T212" s="655"/>
      <c r="U212" s="837"/>
      <c r="V212" s="665"/>
      <c r="W212" s="665"/>
      <c r="X212" s="665"/>
      <c r="Y212" s="665"/>
      <c r="Z212" s="673"/>
      <c r="AA212" s="666"/>
      <c r="AB212" s="667">
        <v>871600</v>
      </c>
      <c r="AC212" s="655"/>
      <c r="AD212" s="655"/>
      <c r="AE212" s="655"/>
      <c r="AF212" s="655"/>
      <c r="AG212" s="655"/>
      <c r="AH212" s="655"/>
      <c r="AI212" s="655"/>
      <c r="AJ212" s="655"/>
      <c r="AK212" s="687"/>
      <c r="AL212" s="669">
        <v>871600</v>
      </c>
      <c r="AM212" s="791">
        <f t="shared" si="67"/>
        <v>0</v>
      </c>
      <c r="AN212" s="677" t="s">
        <v>268</v>
      </c>
    </row>
    <row r="213" spans="1:40" s="39" customFormat="1" ht="21.75" thickBot="1" x14ac:dyDescent="0.4">
      <c r="A213" s="675" t="s">
        <v>28</v>
      </c>
      <c r="B213" s="661">
        <v>3286</v>
      </c>
      <c r="C213" s="711" t="s">
        <v>208</v>
      </c>
      <c r="D213" s="712" t="s">
        <v>207</v>
      </c>
      <c r="E213" s="665"/>
      <c r="F213" s="798"/>
      <c r="G213" s="665"/>
      <c r="H213" s="665"/>
      <c r="I213" s="665"/>
      <c r="J213" s="666"/>
      <c r="K213" s="667">
        <v>0</v>
      </c>
      <c r="L213" s="655">
        <f>AC213-AL213</f>
        <v>0</v>
      </c>
      <c r="M213" s="655"/>
      <c r="N213" s="655"/>
      <c r="O213" s="655"/>
      <c r="P213" s="655"/>
      <c r="Q213" s="655"/>
      <c r="R213" s="655"/>
      <c r="S213" s="655"/>
      <c r="T213" s="655"/>
      <c r="U213" s="837"/>
      <c r="V213" s="665"/>
      <c r="W213" s="665"/>
      <c r="X213" s="665"/>
      <c r="Y213" s="665"/>
      <c r="Z213" s="673"/>
      <c r="AA213" s="666"/>
      <c r="AB213" s="667"/>
      <c r="AC213" s="655">
        <v>473000</v>
      </c>
      <c r="AD213" s="655"/>
      <c r="AE213" s="655"/>
      <c r="AF213" s="655"/>
      <c r="AG213" s="655"/>
      <c r="AH213" s="655"/>
      <c r="AI213" s="655"/>
      <c r="AJ213" s="655"/>
      <c r="AK213" s="687"/>
      <c r="AL213" s="669">
        <v>473000</v>
      </c>
      <c r="AM213" s="791">
        <f t="shared" si="67"/>
        <v>0</v>
      </c>
      <c r="AN213" s="677" t="s">
        <v>280</v>
      </c>
    </row>
    <row r="214" spans="1:40" s="39" customFormat="1" ht="21.75" thickBot="1" x14ac:dyDescent="0.4">
      <c r="A214" s="675" t="s">
        <v>28</v>
      </c>
      <c r="B214" s="661">
        <v>3299</v>
      </c>
      <c r="C214" s="711" t="s">
        <v>210</v>
      </c>
      <c r="D214" s="712" t="s">
        <v>207</v>
      </c>
      <c r="E214" s="664">
        <f>V214-AL214</f>
        <v>0</v>
      </c>
      <c r="F214" s="798"/>
      <c r="G214" s="665"/>
      <c r="H214" s="665"/>
      <c r="I214" s="665"/>
      <c r="J214" s="666"/>
      <c r="K214" s="671">
        <v>0</v>
      </c>
      <c r="L214" s="655"/>
      <c r="M214" s="655"/>
      <c r="N214" s="655"/>
      <c r="O214" s="655"/>
      <c r="P214" s="655"/>
      <c r="Q214" s="655"/>
      <c r="R214" s="655"/>
      <c r="S214" s="655"/>
      <c r="T214" s="655"/>
      <c r="U214" s="837"/>
      <c r="V214" s="665">
        <v>250000</v>
      </c>
      <c r="W214" s="665"/>
      <c r="X214" s="665"/>
      <c r="Y214" s="665"/>
      <c r="Z214" s="673"/>
      <c r="AA214" s="666"/>
      <c r="AB214" s="667"/>
      <c r="AC214" s="655"/>
      <c r="AD214" s="655"/>
      <c r="AE214" s="655"/>
      <c r="AF214" s="655"/>
      <c r="AG214" s="655"/>
      <c r="AH214" s="655"/>
      <c r="AI214" s="655"/>
      <c r="AJ214" s="655"/>
      <c r="AK214" s="687"/>
      <c r="AL214" s="669">
        <v>250000</v>
      </c>
      <c r="AM214" s="670">
        <f>(V214+W214+X214+Y214+Z214+AB214+AC214+AD214+AE214+AF214+AG214+AH214+AI214+AJ214+AK214)-AL214</f>
        <v>0</v>
      </c>
      <c r="AN214" s="677" t="s">
        <v>246</v>
      </c>
    </row>
    <row r="215" spans="1:40" s="39" customFormat="1" ht="21.75" thickBot="1" x14ac:dyDescent="0.4">
      <c r="A215" s="850" t="s">
        <v>28</v>
      </c>
      <c r="B215" s="846">
        <v>3303</v>
      </c>
      <c r="C215" s="855" t="s">
        <v>212</v>
      </c>
      <c r="D215" s="856" t="s">
        <v>207</v>
      </c>
      <c r="E215" s="665"/>
      <c r="F215" s="798"/>
      <c r="G215" s="665"/>
      <c r="H215" s="665"/>
      <c r="I215" s="665"/>
      <c r="J215" s="666"/>
      <c r="K215" s="667">
        <f t="shared" si="68"/>
        <v>0</v>
      </c>
      <c r="L215" s="655"/>
      <c r="M215" s="655"/>
      <c r="N215" s="655"/>
      <c r="O215" s="655"/>
      <c r="P215" s="655"/>
      <c r="Q215" s="655"/>
      <c r="R215" s="655"/>
      <c r="S215" s="655"/>
      <c r="T215" s="655"/>
      <c r="U215" s="837"/>
      <c r="V215" s="665"/>
      <c r="W215" s="665"/>
      <c r="X215" s="665"/>
      <c r="Y215" s="665"/>
      <c r="Z215" s="673"/>
      <c r="AA215" s="666"/>
      <c r="AB215" s="667">
        <v>2000000</v>
      </c>
      <c r="AC215" s="655"/>
      <c r="AD215" s="655"/>
      <c r="AE215" s="655"/>
      <c r="AF215" s="655"/>
      <c r="AG215" s="655"/>
      <c r="AH215" s="655"/>
      <c r="AI215" s="655"/>
      <c r="AJ215" s="655"/>
      <c r="AK215" s="687"/>
      <c r="AL215" s="669">
        <f>1992200+7800</f>
        <v>2000000</v>
      </c>
      <c r="AM215" s="791">
        <f>(V215+W215+X215+Y215+Z215+AB215+AC215+AD215+AE215+AF215+AG215+AH215+AI215+AJ215+AK215)-AL215</f>
        <v>0</v>
      </c>
      <c r="AN215" s="852" t="s">
        <v>301</v>
      </c>
    </row>
    <row r="216" spans="1:40" s="39" customFormat="1" ht="21.75" thickBot="1" x14ac:dyDescent="0.4">
      <c r="A216" s="850" t="s">
        <v>28</v>
      </c>
      <c r="B216" s="846">
        <v>3321</v>
      </c>
      <c r="C216" s="871">
        <v>45323</v>
      </c>
      <c r="D216" s="872">
        <v>45412</v>
      </c>
      <c r="E216" s="665"/>
      <c r="F216" s="798"/>
      <c r="G216" s="665"/>
      <c r="H216" s="665"/>
      <c r="I216" s="665"/>
      <c r="J216" s="666"/>
      <c r="K216" s="667">
        <f>AB216-AL216</f>
        <v>0</v>
      </c>
      <c r="L216" s="655"/>
      <c r="M216" s="655"/>
      <c r="N216" s="655"/>
      <c r="O216" s="655"/>
      <c r="P216" s="655"/>
      <c r="Q216" s="655"/>
      <c r="R216" s="655"/>
      <c r="S216" s="655"/>
      <c r="T216" s="655"/>
      <c r="U216" s="837"/>
      <c r="V216" s="665"/>
      <c r="W216" s="665"/>
      <c r="X216" s="665"/>
      <c r="Y216" s="665"/>
      <c r="Z216" s="673"/>
      <c r="AA216" s="666"/>
      <c r="AB216" s="667">
        <v>250000</v>
      </c>
      <c r="AC216" s="655"/>
      <c r="AD216" s="655"/>
      <c r="AE216" s="655"/>
      <c r="AF216" s="655"/>
      <c r="AG216" s="655"/>
      <c r="AH216" s="655"/>
      <c r="AI216" s="655"/>
      <c r="AJ216" s="655"/>
      <c r="AK216" s="687"/>
      <c r="AL216" s="669">
        <v>250000</v>
      </c>
      <c r="AM216" s="791">
        <f t="shared" ref="AM216:AM234" si="69">(V216+W216+X216+Y216+Z216+AB216+AC216+AD216+AE216+AF216+AG216+AH216+AI216+AJ216+AK216)-AL216</f>
        <v>0</v>
      </c>
      <c r="AN216" s="852" t="s">
        <v>302</v>
      </c>
    </row>
    <row r="217" spans="1:40" s="39" customFormat="1" ht="21.75" thickBot="1" x14ac:dyDescent="0.4">
      <c r="A217" s="850" t="s">
        <v>28</v>
      </c>
      <c r="B217" s="846">
        <v>3323</v>
      </c>
      <c r="C217" s="871">
        <v>45323</v>
      </c>
      <c r="D217" s="872">
        <v>45442</v>
      </c>
      <c r="E217" s="665"/>
      <c r="F217" s="798"/>
      <c r="G217" s="665"/>
      <c r="H217" s="665"/>
      <c r="I217" s="665"/>
      <c r="J217" s="666"/>
      <c r="K217" s="667">
        <f>AB217-AL217</f>
        <v>0</v>
      </c>
      <c r="L217" s="655"/>
      <c r="M217" s="655"/>
      <c r="N217" s="655"/>
      <c r="O217" s="655"/>
      <c r="P217" s="655"/>
      <c r="Q217" s="655"/>
      <c r="R217" s="655"/>
      <c r="S217" s="655"/>
      <c r="T217" s="655"/>
      <c r="U217" s="837"/>
      <c r="V217" s="665"/>
      <c r="W217" s="665"/>
      <c r="X217" s="665"/>
      <c r="Y217" s="665"/>
      <c r="Z217" s="673"/>
      <c r="AA217" s="666"/>
      <c r="AB217" s="667">
        <v>500000</v>
      </c>
      <c r="AC217" s="655"/>
      <c r="AD217" s="655"/>
      <c r="AE217" s="655"/>
      <c r="AF217" s="655"/>
      <c r="AG217" s="655"/>
      <c r="AH217" s="655"/>
      <c r="AI217" s="655"/>
      <c r="AJ217" s="655"/>
      <c r="AK217" s="687"/>
      <c r="AL217" s="669">
        <v>500000</v>
      </c>
      <c r="AM217" s="791">
        <f t="shared" si="69"/>
        <v>0</v>
      </c>
      <c r="AN217" s="852" t="s">
        <v>386</v>
      </c>
    </row>
    <row r="218" spans="1:40" s="39" customFormat="1" ht="21.75" thickBot="1" x14ac:dyDescent="0.4">
      <c r="A218" s="850" t="s">
        <v>28</v>
      </c>
      <c r="B218" s="846">
        <v>3330</v>
      </c>
      <c r="C218" s="871" t="s">
        <v>269</v>
      </c>
      <c r="D218" s="872" t="s">
        <v>266</v>
      </c>
      <c r="E218" s="665"/>
      <c r="F218" s="798"/>
      <c r="G218" s="665"/>
      <c r="H218" s="665"/>
      <c r="I218" s="665"/>
      <c r="J218" s="666"/>
      <c r="K218" s="667">
        <f>AB218-AL218</f>
        <v>0</v>
      </c>
      <c r="L218" s="655"/>
      <c r="M218" s="655"/>
      <c r="N218" s="655"/>
      <c r="O218" s="655"/>
      <c r="P218" s="655"/>
      <c r="Q218" s="655"/>
      <c r="R218" s="655"/>
      <c r="S218" s="655"/>
      <c r="T218" s="655"/>
      <c r="U218" s="837"/>
      <c r="V218" s="665"/>
      <c r="W218" s="665"/>
      <c r="X218" s="665"/>
      <c r="Y218" s="665"/>
      <c r="Z218" s="673"/>
      <c r="AA218" s="666"/>
      <c r="AB218" s="667">
        <v>157400</v>
      </c>
      <c r="AC218" s="655"/>
      <c r="AD218" s="655"/>
      <c r="AE218" s="655"/>
      <c r="AF218" s="655"/>
      <c r="AG218" s="655"/>
      <c r="AH218" s="655"/>
      <c r="AI218" s="655"/>
      <c r="AJ218" s="655"/>
      <c r="AK218" s="687"/>
      <c r="AL218" s="669">
        <v>157400</v>
      </c>
      <c r="AM218" s="791">
        <f t="shared" si="69"/>
        <v>0</v>
      </c>
      <c r="AN218" s="852" t="s">
        <v>387</v>
      </c>
    </row>
    <row r="219" spans="1:40" s="39" customFormat="1" ht="21.75" thickBot="1" x14ac:dyDescent="0.4">
      <c r="A219" s="850" t="s">
        <v>28</v>
      </c>
      <c r="B219" s="846">
        <v>3335</v>
      </c>
      <c r="C219" s="871" t="s">
        <v>275</v>
      </c>
      <c r="D219" s="872" t="s">
        <v>276</v>
      </c>
      <c r="E219" s="665"/>
      <c r="F219" s="798"/>
      <c r="G219" s="665"/>
      <c r="H219" s="665"/>
      <c r="I219" s="665">
        <f>Z219-AL219</f>
        <v>0</v>
      </c>
      <c r="J219" s="666">
        <f t="shared" ref="J219:J231" si="70">SUM(F219:I219)</f>
        <v>0</v>
      </c>
      <c r="K219" s="667"/>
      <c r="L219" s="655"/>
      <c r="M219" s="655"/>
      <c r="N219" s="655"/>
      <c r="O219" s="655"/>
      <c r="P219" s="655"/>
      <c r="Q219" s="655"/>
      <c r="R219" s="655"/>
      <c r="S219" s="655"/>
      <c r="T219" s="655"/>
      <c r="U219" s="837"/>
      <c r="V219" s="665"/>
      <c r="W219" s="665"/>
      <c r="X219" s="665"/>
      <c r="Y219" s="665"/>
      <c r="Z219" s="665">
        <v>21240</v>
      </c>
      <c r="AA219" s="666"/>
      <c r="AB219" s="667"/>
      <c r="AC219" s="655"/>
      <c r="AD219" s="655"/>
      <c r="AE219" s="655"/>
      <c r="AF219" s="655"/>
      <c r="AG219" s="655"/>
      <c r="AH219" s="655"/>
      <c r="AI219" s="655"/>
      <c r="AJ219" s="655"/>
      <c r="AK219" s="687"/>
      <c r="AL219" s="669">
        <f>3600+3600+14040</f>
        <v>21240</v>
      </c>
      <c r="AM219" s="791">
        <f>(V219+W219+X219+Y219+Z219+AB219+AC219+AD219+AE219+AF219+AG219+AH219+AI219+AJ219+AK219)-AL219</f>
        <v>0</v>
      </c>
      <c r="AN219" s="852" t="s">
        <v>391</v>
      </c>
    </row>
    <row r="220" spans="1:40" s="39" customFormat="1" ht="21.75" thickBot="1" x14ac:dyDescent="0.4">
      <c r="A220" s="850" t="s">
        <v>28</v>
      </c>
      <c r="B220" s="846">
        <v>3335</v>
      </c>
      <c r="C220" s="871" t="s">
        <v>275</v>
      </c>
      <c r="D220" s="872" t="s">
        <v>276</v>
      </c>
      <c r="E220" s="665"/>
      <c r="F220" s="798"/>
      <c r="G220" s="665"/>
      <c r="H220" s="665">
        <f>Y220-AL220</f>
        <v>0</v>
      </c>
      <c r="I220" s="665"/>
      <c r="J220" s="666">
        <f t="shared" si="70"/>
        <v>0</v>
      </c>
      <c r="K220" s="667"/>
      <c r="L220" s="655"/>
      <c r="M220" s="655"/>
      <c r="N220" s="655"/>
      <c r="O220" s="655"/>
      <c r="P220" s="655"/>
      <c r="Q220" s="655"/>
      <c r="R220" s="655"/>
      <c r="S220" s="655"/>
      <c r="T220" s="655"/>
      <c r="U220" s="837"/>
      <c r="V220" s="665"/>
      <c r="W220" s="665"/>
      <c r="X220" s="665"/>
      <c r="Y220" s="665">
        <v>7710</v>
      </c>
      <c r="Z220" s="673"/>
      <c r="AA220" s="666"/>
      <c r="AB220" s="667"/>
      <c r="AC220" s="655"/>
      <c r="AD220" s="655"/>
      <c r="AE220" s="655"/>
      <c r="AF220" s="655"/>
      <c r="AG220" s="655"/>
      <c r="AH220" s="655"/>
      <c r="AI220" s="655"/>
      <c r="AJ220" s="655"/>
      <c r="AK220" s="687"/>
      <c r="AL220" s="669">
        <f>3600+1440+2670</f>
        <v>7710</v>
      </c>
      <c r="AM220" s="791">
        <f t="shared" si="69"/>
        <v>0</v>
      </c>
      <c r="AN220" s="852" t="s">
        <v>390</v>
      </c>
    </row>
    <row r="221" spans="1:40" s="969" customFormat="1" ht="21.75" thickBot="1" x14ac:dyDescent="0.4">
      <c r="A221" s="850" t="s">
        <v>28</v>
      </c>
      <c r="B221" s="846">
        <v>3335</v>
      </c>
      <c r="C221" s="871" t="s">
        <v>275</v>
      </c>
      <c r="D221" s="872" t="s">
        <v>276</v>
      </c>
      <c r="E221" s="665"/>
      <c r="F221" s="798"/>
      <c r="G221" s="665">
        <f>X221-AL221</f>
        <v>0</v>
      </c>
      <c r="H221" s="665"/>
      <c r="I221" s="665"/>
      <c r="J221" s="666">
        <f t="shared" si="70"/>
        <v>0</v>
      </c>
      <c r="K221" s="667"/>
      <c r="L221" s="655"/>
      <c r="M221" s="655"/>
      <c r="N221" s="655"/>
      <c r="O221" s="655"/>
      <c r="P221" s="655"/>
      <c r="Q221" s="655"/>
      <c r="R221" s="655"/>
      <c r="S221" s="655"/>
      <c r="T221" s="655"/>
      <c r="U221" s="837"/>
      <c r="V221" s="665"/>
      <c r="W221" s="665"/>
      <c r="X221" s="665">
        <v>11700</v>
      </c>
      <c r="Y221" s="665"/>
      <c r="Z221" s="673"/>
      <c r="AA221" s="665"/>
      <c r="AB221" s="667"/>
      <c r="AC221" s="655"/>
      <c r="AD221" s="655"/>
      <c r="AE221" s="655"/>
      <c r="AF221" s="655"/>
      <c r="AG221" s="655"/>
      <c r="AH221" s="655"/>
      <c r="AI221" s="655"/>
      <c r="AJ221" s="655"/>
      <c r="AK221" s="687"/>
      <c r="AL221" s="669">
        <f>1440+2160+1440+4950+1710</f>
        <v>11700</v>
      </c>
      <c r="AM221" s="791">
        <f t="shared" si="69"/>
        <v>0</v>
      </c>
      <c r="AN221" s="852" t="s">
        <v>505</v>
      </c>
    </row>
    <row r="222" spans="1:40" s="39" customFormat="1" ht="21.75" thickBot="1" x14ac:dyDescent="0.4">
      <c r="A222" s="850" t="s">
        <v>28</v>
      </c>
      <c r="B222" s="846">
        <v>3335</v>
      </c>
      <c r="C222" s="871" t="s">
        <v>275</v>
      </c>
      <c r="D222" s="872" t="s">
        <v>276</v>
      </c>
      <c r="E222" s="665"/>
      <c r="F222" s="798">
        <f>W222-AL222</f>
        <v>0</v>
      </c>
      <c r="G222" s="665"/>
      <c r="H222" s="665"/>
      <c r="I222" s="665"/>
      <c r="J222" s="666">
        <f t="shared" si="70"/>
        <v>0</v>
      </c>
      <c r="K222" s="667"/>
      <c r="L222" s="655"/>
      <c r="M222" s="655"/>
      <c r="N222" s="655"/>
      <c r="O222" s="655"/>
      <c r="P222" s="655"/>
      <c r="Q222" s="655"/>
      <c r="R222" s="655"/>
      <c r="S222" s="655"/>
      <c r="T222" s="655"/>
      <c r="U222" s="837"/>
      <c r="V222" s="665"/>
      <c r="W222" s="665">
        <v>10710</v>
      </c>
      <c r="X222" s="665"/>
      <c r="Y222" s="665"/>
      <c r="Z222" s="673"/>
      <c r="AA222" s="665"/>
      <c r="AB222" s="667"/>
      <c r="AC222" s="655"/>
      <c r="AD222" s="655"/>
      <c r="AE222" s="655"/>
      <c r="AF222" s="655"/>
      <c r="AG222" s="655"/>
      <c r="AH222" s="655"/>
      <c r="AI222" s="655"/>
      <c r="AJ222" s="655"/>
      <c r="AK222" s="687"/>
      <c r="AL222" s="669">
        <f>1440+2160+7110</f>
        <v>10710</v>
      </c>
      <c r="AM222" s="791">
        <f t="shared" si="69"/>
        <v>0</v>
      </c>
      <c r="AN222" s="852" t="s">
        <v>512</v>
      </c>
    </row>
    <row r="223" spans="1:40" s="39" customFormat="1" ht="21.75" thickBot="1" x14ac:dyDescent="0.4">
      <c r="A223" s="996" t="s">
        <v>28</v>
      </c>
      <c r="B223" s="997">
        <v>3354</v>
      </c>
      <c r="C223" s="998" t="s">
        <v>321</v>
      </c>
      <c r="D223" s="999" t="s">
        <v>322</v>
      </c>
      <c r="E223" s="992">
        <f>V223-AL223</f>
        <v>0</v>
      </c>
      <c r="F223" s="1000"/>
      <c r="G223" s="992"/>
      <c r="H223" s="992"/>
      <c r="I223" s="992"/>
      <c r="J223" s="666">
        <f t="shared" si="70"/>
        <v>0</v>
      </c>
      <c r="K223" s="993"/>
      <c r="L223" s="994"/>
      <c r="M223" s="994"/>
      <c r="N223" s="994"/>
      <c r="O223" s="994"/>
      <c r="P223" s="994"/>
      <c r="Q223" s="994"/>
      <c r="R223" s="994"/>
      <c r="S223" s="994"/>
      <c r="T223" s="994"/>
      <c r="U223" s="837"/>
      <c r="V223" s="992">
        <v>200000</v>
      </c>
      <c r="W223" s="992"/>
      <c r="X223" s="992"/>
      <c r="Y223" s="992"/>
      <c r="Z223" s="1001"/>
      <c r="AA223" s="992"/>
      <c r="AB223" s="993"/>
      <c r="AC223" s="994"/>
      <c r="AD223" s="994"/>
      <c r="AE223" s="994"/>
      <c r="AF223" s="994"/>
      <c r="AG223" s="994"/>
      <c r="AH223" s="994"/>
      <c r="AI223" s="994"/>
      <c r="AJ223" s="994"/>
      <c r="AK223" s="1002"/>
      <c r="AL223" s="669">
        <v>200000</v>
      </c>
      <c r="AM223" s="791">
        <f t="shared" si="69"/>
        <v>0</v>
      </c>
      <c r="AN223" s="852" t="s">
        <v>406</v>
      </c>
    </row>
    <row r="224" spans="1:40" s="39" customFormat="1" ht="21.75" thickBot="1" x14ac:dyDescent="0.4">
      <c r="A224" s="850" t="s">
        <v>28</v>
      </c>
      <c r="B224" s="950">
        <v>3353</v>
      </c>
      <c r="C224" s="871" t="s">
        <v>321</v>
      </c>
      <c r="D224" s="872" t="s">
        <v>323</v>
      </c>
      <c r="E224" s="665"/>
      <c r="F224" s="798"/>
      <c r="G224" s="665"/>
      <c r="H224" s="665"/>
      <c r="I224" s="665"/>
      <c r="J224" s="666">
        <f t="shared" si="70"/>
        <v>0</v>
      </c>
      <c r="K224" s="667"/>
      <c r="L224" s="655"/>
      <c r="M224" s="655">
        <f>AD224-AL224</f>
        <v>0</v>
      </c>
      <c r="N224" s="655"/>
      <c r="O224" s="655"/>
      <c r="P224" s="655"/>
      <c r="Q224" s="655"/>
      <c r="R224" s="655"/>
      <c r="S224" s="655"/>
      <c r="T224" s="655"/>
      <c r="U224" s="837"/>
      <c r="V224" s="665"/>
      <c r="W224" s="665"/>
      <c r="X224" s="665"/>
      <c r="Y224" s="665"/>
      <c r="Z224" s="673"/>
      <c r="AA224" s="666"/>
      <c r="AB224" s="667"/>
      <c r="AC224" s="655"/>
      <c r="AD224" s="655">
        <v>30000</v>
      </c>
      <c r="AE224" s="655"/>
      <c r="AF224" s="655"/>
      <c r="AG224" s="655"/>
      <c r="AH224" s="655"/>
      <c r="AI224" s="655"/>
      <c r="AJ224" s="655"/>
      <c r="AK224" s="687"/>
      <c r="AL224" s="669">
        <v>30000</v>
      </c>
      <c r="AM224" s="791">
        <f t="shared" si="69"/>
        <v>0</v>
      </c>
      <c r="AN224" s="852" t="s">
        <v>385</v>
      </c>
    </row>
    <row r="225" spans="1:40" s="39" customFormat="1" ht="21.75" thickBot="1" x14ac:dyDescent="0.4">
      <c r="A225" s="850" t="s">
        <v>28</v>
      </c>
      <c r="B225" s="950">
        <v>3353</v>
      </c>
      <c r="C225" s="871" t="s">
        <v>321</v>
      </c>
      <c r="D225" s="872" t="s">
        <v>323</v>
      </c>
      <c r="E225" s="665"/>
      <c r="F225" s="798"/>
      <c r="G225" s="665"/>
      <c r="H225" s="665"/>
      <c r="I225" s="665"/>
      <c r="J225" s="666">
        <f t="shared" si="70"/>
        <v>0</v>
      </c>
      <c r="K225" s="667"/>
      <c r="L225" s="655"/>
      <c r="M225" s="655"/>
      <c r="N225" s="655">
        <f>AE225-AL225</f>
        <v>0</v>
      </c>
      <c r="O225" s="655"/>
      <c r="P225" s="655"/>
      <c r="Q225" s="655"/>
      <c r="R225" s="655"/>
      <c r="S225" s="655"/>
      <c r="T225" s="655"/>
      <c r="U225" s="837"/>
      <c r="V225" s="665"/>
      <c r="W225" s="665"/>
      <c r="X225" s="665"/>
      <c r="Y225" s="665"/>
      <c r="Z225" s="673"/>
      <c r="AA225" s="666"/>
      <c r="AB225" s="667"/>
      <c r="AC225" s="655"/>
      <c r="AD225" s="655"/>
      <c r="AE225" s="655">
        <v>30000</v>
      </c>
      <c r="AF225" s="655"/>
      <c r="AG225" s="655"/>
      <c r="AH225" s="655"/>
      <c r="AI225" s="655"/>
      <c r="AJ225" s="655"/>
      <c r="AK225" s="687"/>
      <c r="AL225" s="669">
        <v>30000</v>
      </c>
      <c r="AM225" s="791">
        <f t="shared" si="69"/>
        <v>0</v>
      </c>
      <c r="AN225" s="852" t="s">
        <v>385</v>
      </c>
    </row>
    <row r="226" spans="1:40" s="39" customFormat="1" ht="21.75" thickBot="1" x14ac:dyDescent="0.4">
      <c r="A226" s="850" t="s">
        <v>28</v>
      </c>
      <c r="B226" s="950">
        <v>3352</v>
      </c>
      <c r="C226" s="871" t="s">
        <v>321</v>
      </c>
      <c r="D226" s="872" t="s">
        <v>323</v>
      </c>
      <c r="E226" s="665"/>
      <c r="F226" s="798"/>
      <c r="G226" s="665"/>
      <c r="H226" s="665"/>
      <c r="I226" s="665">
        <f>Z226-AL226</f>
        <v>0</v>
      </c>
      <c r="J226" s="666">
        <f t="shared" si="70"/>
        <v>0</v>
      </c>
      <c r="K226" s="667"/>
      <c r="L226" s="655"/>
      <c r="M226" s="655"/>
      <c r="N226" s="655"/>
      <c r="O226" s="655"/>
      <c r="P226" s="655"/>
      <c r="Q226" s="655"/>
      <c r="R226" s="655"/>
      <c r="S226" s="655"/>
      <c r="T226" s="655"/>
      <c r="U226" s="837"/>
      <c r="V226" s="665"/>
      <c r="W226" s="665"/>
      <c r="X226" s="665"/>
      <c r="Y226" s="665"/>
      <c r="Z226" s="665">
        <v>28500</v>
      </c>
      <c r="AA226" s="665"/>
      <c r="AB226" s="667"/>
      <c r="AC226" s="655"/>
      <c r="AD226" s="655"/>
      <c r="AE226" s="655"/>
      <c r="AF226" s="655"/>
      <c r="AG226" s="655"/>
      <c r="AH226" s="655"/>
      <c r="AI226" s="655"/>
      <c r="AJ226" s="655"/>
      <c r="AK226" s="687"/>
      <c r="AL226" s="669">
        <v>28500</v>
      </c>
      <c r="AM226" s="791">
        <f t="shared" si="69"/>
        <v>0</v>
      </c>
      <c r="AN226" s="852" t="s">
        <v>384</v>
      </c>
    </row>
    <row r="227" spans="1:40" s="39" customFormat="1" ht="21.75" thickBot="1" x14ac:dyDescent="0.4">
      <c r="A227" s="850" t="s">
        <v>28</v>
      </c>
      <c r="B227" s="950">
        <v>3352</v>
      </c>
      <c r="C227" s="871" t="s">
        <v>321</v>
      </c>
      <c r="D227" s="872" t="s">
        <v>323</v>
      </c>
      <c r="E227" s="665"/>
      <c r="F227" s="798"/>
      <c r="G227" s="665"/>
      <c r="H227" s="665">
        <f>Y227-AL227</f>
        <v>0</v>
      </c>
      <c r="I227" s="665"/>
      <c r="J227" s="666">
        <f t="shared" si="70"/>
        <v>0</v>
      </c>
      <c r="K227" s="667"/>
      <c r="L227" s="655"/>
      <c r="M227" s="655"/>
      <c r="N227" s="655"/>
      <c r="O227" s="655"/>
      <c r="P227" s="655"/>
      <c r="Q227" s="655"/>
      <c r="R227" s="655"/>
      <c r="S227" s="655"/>
      <c r="T227" s="655"/>
      <c r="U227" s="837"/>
      <c r="V227" s="665"/>
      <c r="W227" s="665"/>
      <c r="X227" s="665"/>
      <c r="Y227" s="665">
        <v>46500</v>
      </c>
      <c r="Z227" s="673"/>
      <c r="AA227" s="665"/>
      <c r="AB227" s="667"/>
      <c r="AC227" s="655"/>
      <c r="AD227" s="655"/>
      <c r="AE227" s="655"/>
      <c r="AF227" s="655"/>
      <c r="AG227" s="655"/>
      <c r="AH227" s="655"/>
      <c r="AI227" s="655"/>
      <c r="AJ227" s="655"/>
      <c r="AK227" s="687"/>
      <c r="AL227" s="669">
        <f>40500+6000</f>
        <v>46500</v>
      </c>
      <c r="AM227" s="791">
        <f t="shared" si="69"/>
        <v>0</v>
      </c>
      <c r="AN227" s="852" t="s">
        <v>506</v>
      </c>
    </row>
    <row r="228" spans="1:40" s="39" customFormat="1" ht="21.75" thickBot="1" x14ac:dyDescent="0.4">
      <c r="A228" s="850" t="s">
        <v>28</v>
      </c>
      <c r="B228" s="950">
        <v>3352</v>
      </c>
      <c r="C228" s="871" t="s">
        <v>321</v>
      </c>
      <c r="D228" s="872" t="s">
        <v>323</v>
      </c>
      <c r="E228" s="665"/>
      <c r="F228" s="798"/>
      <c r="G228" s="665">
        <f>X228-AL228</f>
        <v>0</v>
      </c>
      <c r="H228" s="665"/>
      <c r="I228" s="665"/>
      <c r="J228" s="666">
        <f t="shared" si="70"/>
        <v>0</v>
      </c>
      <c r="K228" s="667"/>
      <c r="L228" s="655"/>
      <c r="M228" s="655"/>
      <c r="N228" s="655"/>
      <c r="O228" s="655"/>
      <c r="P228" s="655"/>
      <c r="Q228" s="655"/>
      <c r="R228" s="655"/>
      <c r="S228" s="655"/>
      <c r="T228" s="655"/>
      <c r="U228" s="837"/>
      <c r="V228" s="665"/>
      <c r="W228" s="665"/>
      <c r="X228" s="665">
        <v>51000</v>
      </c>
      <c r="Y228" s="665"/>
      <c r="Z228" s="673"/>
      <c r="AA228" s="666"/>
      <c r="AB228" s="667"/>
      <c r="AC228" s="655"/>
      <c r="AD228" s="655"/>
      <c r="AE228" s="655"/>
      <c r="AF228" s="655"/>
      <c r="AG228" s="655"/>
      <c r="AH228" s="655"/>
      <c r="AI228" s="655"/>
      <c r="AJ228" s="655"/>
      <c r="AK228" s="687"/>
      <c r="AL228" s="669">
        <v>51000</v>
      </c>
      <c r="AM228" s="791">
        <f t="shared" si="69"/>
        <v>0</v>
      </c>
      <c r="AN228" s="852" t="s">
        <v>384</v>
      </c>
    </row>
    <row r="229" spans="1:40" s="39" customFormat="1" ht="21.75" thickBot="1" x14ac:dyDescent="0.4">
      <c r="A229" s="850" t="s">
        <v>28</v>
      </c>
      <c r="B229" s="950">
        <v>3352</v>
      </c>
      <c r="C229" s="871" t="s">
        <v>321</v>
      </c>
      <c r="D229" s="872" t="s">
        <v>323</v>
      </c>
      <c r="E229" s="665"/>
      <c r="F229" s="798">
        <f>W229-AL229</f>
        <v>0</v>
      </c>
      <c r="G229" s="665"/>
      <c r="H229" s="665"/>
      <c r="I229" s="665"/>
      <c r="J229" s="666">
        <f t="shared" si="70"/>
        <v>0</v>
      </c>
      <c r="K229" s="667"/>
      <c r="L229" s="655"/>
      <c r="M229" s="655"/>
      <c r="N229" s="655"/>
      <c r="O229" s="655"/>
      <c r="P229" s="655"/>
      <c r="Q229" s="655"/>
      <c r="R229" s="655"/>
      <c r="S229" s="655"/>
      <c r="T229" s="655"/>
      <c r="U229" s="837"/>
      <c r="V229" s="665"/>
      <c r="W229" s="665">
        <v>36000</v>
      </c>
      <c r="X229" s="665"/>
      <c r="Y229" s="665"/>
      <c r="Z229" s="673"/>
      <c r="AA229" s="666"/>
      <c r="AB229" s="667"/>
      <c r="AC229" s="655"/>
      <c r="AD229" s="655"/>
      <c r="AE229" s="655"/>
      <c r="AF229" s="655"/>
      <c r="AG229" s="655"/>
      <c r="AH229" s="655"/>
      <c r="AI229" s="655"/>
      <c r="AJ229" s="655"/>
      <c r="AK229" s="687"/>
      <c r="AL229" s="669">
        <v>36000</v>
      </c>
      <c r="AM229" s="791">
        <f t="shared" si="69"/>
        <v>0</v>
      </c>
      <c r="AN229" s="852" t="s">
        <v>384</v>
      </c>
    </row>
    <row r="230" spans="1:40" s="39" customFormat="1" ht="21.75" thickBot="1" x14ac:dyDescent="0.4">
      <c r="A230" s="850" t="s">
        <v>28</v>
      </c>
      <c r="B230" s="950">
        <v>3359</v>
      </c>
      <c r="C230" s="871" t="s">
        <v>382</v>
      </c>
      <c r="D230" s="872" t="s">
        <v>383</v>
      </c>
      <c r="E230" s="665">
        <f>V230-AL230</f>
        <v>0</v>
      </c>
      <c r="F230" s="798"/>
      <c r="G230" s="665"/>
      <c r="H230" s="665"/>
      <c r="I230" s="665"/>
      <c r="J230" s="666"/>
      <c r="K230" s="667"/>
      <c r="L230" s="655"/>
      <c r="M230" s="655"/>
      <c r="N230" s="655"/>
      <c r="O230" s="655"/>
      <c r="P230" s="655"/>
      <c r="Q230" s="655"/>
      <c r="R230" s="655"/>
      <c r="S230" s="655"/>
      <c r="T230" s="655"/>
      <c r="U230" s="837"/>
      <c r="V230" s="665">
        <v>200000</v>
      </c>
      <c r="W230" s="665"/>
      <c r="X230" s="665"/>
      <c r="Y230" s="665"/>
      <c r="Z230" s="673"/>
      <c r="AA230" s="665"/>
      <c r="AB230" s="667"/>
      <c r="AC230" s="655"/>
      <c r="AD230" s="655"/>
      <c r="AE230" s="655"/>
      <c r="AF230" s="655"/>
      <c r="AG230" s="655"/>
      <c r="AH230" s="655"/>
      <c r="AI230" s="655"/>
      <c r="AJ230" s="655"/>
      <c r="AK230" s="687"/>
      <c r="AL230" s="669">
        <f>83125+116875</f>
        <v>200000</v>
      </c>
      <c r="AM230" s="791">
        <f t="shared" si="69"/>
        <v>0</v>
      </c>
      <c r="AN230" s="852" t="s">
        <v>458</v>
      </c>
    </row>
    <row r="231" spans="1:40" s="39" customFormat="1" ht="21.75" thickBot="1" x14ac:dyDescent="0.4">
      <c r="A231" s="850" t="s">
        <v>28</v>
      </c>
      <c r="B231" s="950">
        <v>3376</v>
      </c>
      <c r="C231" s="871" t="s">
        <v>375</v>
      </c>
      <c r="D231" s="872" t="s">
        <v>377</v>
      </c>
      <c r="E231" s="665">
        <f>V231-AL231</f>
        <v>0</v>
      </c>
      <c r="F231" s="798"/>
      <c r="G231" s="665"/>
      <c r="H231" s="665"/>
      <c r="I231" s="665"/>
      <c r="J231" s="666">
        <f t="shared" si="70"/>
        <v>0</v>
      </c>
      <c r="K231" s="667"/>
      <c r="L231" s="655"/>
      <c r="M231" s="655"/>
      <c r="N231" s="655"/>
      <c r="O231" s="655"/>
      <c r="P231" s="655"/>
      <c r="Q231" s="655"/>
      <c r="R231" s="655"/>
      <c r="S231" s="655"/>
      <c r="T231" s="655"/>
      <c r="U231" s="837"/>
      <c r="V231" s="665">
        <v>250000</v>
      </c>
      <c r="W231" s="665"/>
      <c r="X231" s="665"/>
      <c r="Y231" s="665"/>
      <c r="Z231" s="673"/>
      <c r="AA231" s="665"/>
      <c r="AB231" s="667"/>
      <c r="AC231" s="655"/>
      <c r="AD231" s="655"/>
      <c r="AE231" s="655"/>
      <c r="AF231" s="655"/>
      <c r="AG231" s="655"/>
      <c r="AH231" s="655"/>
      <c r="AI231" s="655"/>
      <c r="AJ231" s="655"/>
      <c r="AK231" s="687"/>
      <c r="AL231" s="669">
        <v>250000</v>
      </c>
      <c r="AM231" s="791">
        <f t="shared" si="69"/>
        <v>0</v>
      </c>
      <c r="AN231" s="852" t="s">
        <v>497</v>
      </c>
    </row>
    <row r="232" spans="1:40" s="39" customFormat="1" ht="21.75" thickBot="1" x14ac:dyDescent="0.4">
      <c r="A232" s="1096" t="s">
        <v>28</v>
      </c>
      <c r="B232" s="950"/>
      <c r="C232" s="871" t="s">
        <v>388</v>
      </c>
      <c r="D232" s="872" t="s">
        <v>323</v>
      </c>
      <c r="E232" s="798"/>
      <c r="F232" s="798"/>
      <c r="G232" s="665"/>
      <c r="H232" s="665"/>
      <c r="I232" s="665"/>
      <c r="J232" s="666"/>
      <c r="K232" s="667">
        <f>AB232-AL232</f>
        <v>0</v>
      </c>
      <c r="L232" s="655"/>
      <c r="M232" s="655"/>
      <c r="N232" s="655"/>
      <c r="O232" s="655"/>
      <c r="P232" s="655"/>
      <c r="Q232" s="655"/>
      <c r="R232" s="655"/>
      <c r="S232" s="655"/>
      <c r="T232" s="655"/>
      <c r="U232" s="837"/>
      <c r="V232" s="665"/>
      <c r="W232" s="665"/>
      <c r="X232" s="665"/>
      <c r="Y232" s="665"/>
      <c r="Z232" s="673"/>
      <c r="AA232" s="665"/>
      <c r="AB232" s="667">
        <v>1000000</v>
      </c>
      <c r="AC232" s="655"/>
      <c r="AD232" s="655"/>
      <c r="AE232" s="655"/>
      <c r="AF232" s="655"/>
      <c r="AG232" s="655"/>
      <c r="AH232" s="655"/>
      <c r="AI232" s="655"/>
      <c r="AJ232" s="655"/>
      <c r="AK232" s="687"/>
      <c r="AL232" s="669">
        <v>1000000</v>
      </c>
      <c r="AM232" s="791">
        <f t="shared" si="69"/>
        <v>0</v>
      </c>
      <c r="AN232" s="852" t="s">
        <v>389</v>
      </c>
    </row>
    <row r="233" spans="1:40" s="381" customFormat="1" ht="21.75" thickBot="1" x14ac:dyDescent="0.4">
      <c r="A233" s="1096" t="s">
        <v>28</v>
      </c>
      <c r="B233" s="846">
        <v>3384</v>
      </c>
      <c r="C233" s="903" t="s">
        <v>411</v>
      </c>
      <c r="D233" s="863" t="s">
        <v>322</v>
      </c>
      <c r="E233" s="798"/>
      <c r="F233" s="798"/>
      <c r="G233" s="665"/>
      <c r="H233" s="665"/>
      <c r="I233" s="665"/>
      <c r="J233" s="666"/>
      <c r="K233" s="667"/>
      <c r="L233" s="655"/>
      <c r="M233" s="655">
        <f>AD233-AL233</f>
        <v>0</v>
      </c>
      <c r="N233" s="655"/>
      <c r="O233" s="655"/>
      <c r="P233" s="655"/>
      <c r="Q233" s="655"/>
      <c r="R233" s="655"/>
      <c r="S233" s="655"/>
      <c r="T233" s="655"/>
      <c r="U233" s="837"/>
      <c r="V233" s="665"/>
      <c r="W233" s="665"/>
      <c r="X233" s="665"/>
      <c r="Y233" s="665"/>
      <c r="Z233" s="686"/>
      <c r="AA233" s="665"/>
      <c r="AB233" s="667"/>
      <c r="AC233" s="655"/>
      <c r="AD233" s="655">
        <v>30000</v>
      </c>
      <c r="AE233" s="655"/>
      <c r="AF233" s="655"/>
      <c r="AG233" s="655"/>
      <c r="AH233" s="655"/>
      <c r="AI233" s="655"/>
      <c r="AJ233" s="655"/>
      <c r="AK233" s="687"/>
      <c r="AL233" s="669">
        <v>30000</v>
      </c>
      <c r="AM233" s="791">
        <f t="shared" si="69"/>
        <v>0</v>
      </c>
      <c r="AN233" s="852" t="s">
        <v>449</v>
      </c>
    </row>
    <row r="234" spans="1:40" s="381" customFormat="1" ht="21.75" thickBot="1" x14ac:dyDescent="0.4">
      <c r="A234" s="1096" t="s">
        <v>28</v>
      </c>
      <c r="B234" s="846">
        <v>3385</v>
      </c>
      <c r="C234" s="903" t="s">
        <v>410</v>
      </c>
      <c r="D234" s="863" t="s">
        <v>322</v>
      </c>
      <c r="E234" s="798"/>
      <c r="F234" s="798"/>
      <c r="G234" s="665"/>
      <c r="H234" s="665"/>
      <c r="I234" s="665"/>
      <c r="J234" s="666">
        <f>SUM(F234:I234)</f>
        <v>0</v>
      </c>
      <c r="K234" s="667"/>
      <c r="L234" s="655"/>
      <c r="M234" s="655"/>
      <c r="N234" s="655">
        <f>AE234-AL234</f>
        <v>0</v>
      </c>
      <c r="O234" s="655"/>
      <c r="P234" s="655"/>
      <c r="Q234" s="655"/>
      <c r="R234" s="655"/>
      <c r="S234" s="655"/>
      <c r="T234" s="655"/>
      <c r="U234" s="837"/>
      <c r="V234" s="665"/>
      <c r="W234" s="665"/>
      <c r="X234" s="665"/>
      <c r="Y234" s="665"/>
      <c r="Z234" s="686"/>
      <c r="AA234" s="665"/>
      <c r="AB234" s="667"/>
      <c r="AC234" s="655"/>
      <c r="AD234" s="655"/>
      <c r="AE234" s="655">
        <v>30000</v>
      </c>
      <c r="AF234" s="655"/>
      <c r="AG234" s="655"/>
      <c r="AH234" s="655"/>
      <c r="AI234" s="655"/>
      <c r="AJ234" s="655"/>
      <c r="AK234" s="687"/>
      <c r="AL234" s="669">
        <v>30000</v>
      </c>
      <c r="AM234" s="791">
        <f t="shared" si="69"/>
        <v>0</v>
      </c>
      <c r="AN234" s="852" t="s">
        <v>483</v>
      </c>
    </row>
    <row r="235" spans="1:40" s="39" customFormat="1" ht="21.75" thickBot="1" x14ac:dyDescent="0.4">
      <c r="A235" s="850" t="s">
        <v>28</v>
      </c>
      <c r="B235" s="851">
        <v>3396</v>
      </c>
      <c r="C235" s="871" t="s">
        <v>444</v>
      </c>
      <c r="D235" s="872" t="s">
        <v>445</v>
      </c>
      <c r="E235" s="665">
        <f>V235-AL235</f>
        <v>0</v>
      </c>
      <c r="F235" s="798"/>
      <c r="G235" s="665"/>
      <c r="H235" s="665"/>
      <c r="I235" s="665"/>
      <c r="J235" s="666">
        <f>SUM(F235:I235)</f>
        <v>0</v>
      </c>
      <c r="K235" s="667"/>
      <c r="L235" s="655"/>
      <c r="M235" s="655"/>
      <c r="N235" s="655"/>
      <c r="O235" s="655"/>
      <c r="P235" s="655"/>
      <c r="Q235" s="655"/>
      <c r="R235" s="655"/>
      <c r="S235" s="655"/>
      <c r="T235" s="655"/>
      <c r="U235" s="837"/>
      <c r="V235" s="665">
        <v>250000</v>
      </c>
      <c r="W235" s="665"/>
      <c r="X235" s="665"/>
      <c r="Y235" s="665"/>
      <c r="Z235" s="673"/>
      <c r="AA235" s="665"/>
      <c r="AB235" s="667"/>
      <c r="AC235" s="655"/>
      <c r="AD235" s="655"/>
      <c r="AE235" s="655"/>
      <c r="AF235" s="655"/>
      <c r="AG235" s="655"/>
      <c r="AH235" s="655"/>
      <c r="AI235" s="655"/>
      <c r="AJ235" s="655"/>
      <c r="AK235" s="687"/>
      <c r="AL235" s="669">
        <v>250000</v>
      </c>
      <c r="AM235" s="791">
        <f>(V235+W235+X235+Y235+Z235+AB235+AC235+AD235+AE235+AF235+AG235+AH235+AI235+AJ235+AK235)-AL235</f>
        <v>0</v>
      </c>
      <c r="AN235" s="852" t="s">
        <v>507</v>
      </c>
    </row>
    <row r="236" spans="1:40" s="39" customFormat="1" ht="21.75" thickBot="1" x14ac:dyDescent="0.4">
      <c r="A236" s="850" t="s">
        <v>28</v>
      </c>
      <c r="B236" s="851">
        <v>3398</v>
      </c>
      <c r="C236" s="871" t="s">
        <v>461</v>
      </c>
      <c r="D236" s="872" t="s">
        <v>322</v>
      </c>
      <c r="E236" s="665"/>
      <c r="F236" s="798"/>
      <c r="G236" s="665"/>
      <c r="H236" s="665"/>
      <c r="I236" s="665">
        <f>Z236-AL236</f>
        <v>0</v>
      </c>
      <c r="J236" s="666">
        <f>SUM(F236:I236)</f>
        <v>0</v>
      </c>
      <c r="K236" s="667"/>
      <c r="L236" s="655"/>
      <c r="M236" s="655"/>
      <c r="N236" s="655"/>
      <c r="O236" s="655"/>
      <c r="P236" s="655"/>
      <c r="Q236" s="655"/>
      <c r="R236" s="655"/>
      <c r="S236" s="655"/>
      <c r="T236" s="655"/>
      <c r="U236" s="837"/>
      <c r="V236" s="665"/>
      <c r="W236" s="665"/>
      <c r="X236" s="665"/>
      <c r="Y236" s="665"/>
      <c r="Z236" s="665">
        <v>27000</v>
      </c>
      <c r="AA236" s="665"/>
      <c r="AB236" s="667"/>
      <c r="AC236" s="655"/>
      <c r="AD236" s="655"/>
      <c r="AE236" s="655"/>
      <c r="AF236" s="655"/>
      <c r="AG236" s="655"/>
      <c r="AH236" s="655"/>
      <c r="AI236" s="655"/>
      <c r="AJ236" s="655"/>
      <c r="AK236" s="687"/>
      <c r="AL236" s="669">
        <v>27000</v>
      </c>
      <c r="AM236" s="791">
        <f>(V236+W236+X236+Y236+Z236+AB236+AC236+AD236+AE236+AF236+AG236+AH236+AI236+AJ236+AK236)-AL236</f>
        <v>0</v>
      </c>
      <c r="AN236" s="852" t="s">
        <v>478</v>
      </c>
    </row>
    <row r="237" spans="1:40" s="379" customFormat="1" ht="21.75" thickBot="1" x14ac:dyDescent="0.4">
      <c r="A237" s="950" t="s">
        <v>28</v>
      </c>
      <c r="B237" s="851">
        <v>3404</v>
      </c>
      <c r="C237" s="903" t="s">
        <v>469</v>
      </c>
      <c r="D237" s="863" t="s">
        <v>470</v>
      </c>
      <c r="E237" s="665" t="s">
        <v>263</v>
      </c>
      <c r="F237" s="798"/>
      <c r="G237" s="798"/>
      <c r="H237" s="798"/>
      <c r="I237" s="665"/>
      <c r="J237" s="665"/>
      <c r="K237" s="667">
        <f>AB237-AL237</f>
        <v>0</v>
      </c>
      <c r="L237" s="655"/>
      <c r="M237" s="655"/>
      <c r="N237" s="655"/>
      <c r="O237" s="655"/>
      <c r="P237" s="655"/>
      <c r="Q237" s="655"/>
      <c r="R237" s="655"/>
      <c r="S237" s="655"/>
      <c r="T237" s="655"/>
      <c r="U237" s="837"/>
      <c r="V237" s="665"/>
      <c r="W237" s="665"/>
      <c r="X237" s="665"/>
      <c r="Y237" s="665"/>
      <c r="Z237" s="686"/>
      <c r="AA237" s="665"/>
      <c r="AB237" s="667">
        <v>1150900</v>
      </c>
      <c r="AC237" s="655"/>
      <c r="AD237" s="655"/>
      <c r="AE237" s="655"/>
      <c r="AF237" s="655"/>
      <c r="AG237" s="655"/>
      <c r="AH237" s="655"/>
      <c r="AI237" s="655"/>
      <c r="AJ237" s="655"/>
      <c r="AK237" s="687"/>
      <c r="AL237" s="669">
        <f>150900+1000000</f>
        <v>1150900</v>
      </c>
      <c r="AM237" s="669">
        <f>(V237+W237+X237+Y237+Z237+AB237+AC237+AD237+AE237+AF237+AG237+AH237+AI237+AJ237+AK237)-AL237</f>
        <v>0</v>
      </c>
      <c r="AN237" s="852" t="s">
        <v>554</v>
      </c>
    </row>
    <row r="238" spans="1:40" s="381" customFormat="1" ht="21.75" thickBot="1" x14ac:dyDescent="0.4">
      <c r="A238" s="1096" t="s">
        <v>28</v>
      </c>
      <c r="B238" s="846">
        <v>3408</v>
      </c>
      <c r="C238" s="903" t="s">
        <v>410</v>
      </c>
      <c r="D238" s="863" t="s">
        <v>322</v>
      </c>
      <c r="E238" s="798"/>
      <c r="F238" s="798"/>
      <c r="G238" s="665"/>
      <c r="H238" s="665"/>
      <c r="I238" s="665"/>
      <c r="J238" s="665">
        <f>SUM(F238:I238)</f>
        <v>0</v>
      </c>
      <c r="K238" s="667"/>
      <c r="L238" s="655"/>
      <c r="M238" s="655"/>
      <c r="N238" s="655">
        <f>AE238-AL238</f>
        <v>0</v>
      </c>
      <c r="O238" s="655"/>
      <c r="P238" s="655"/>
      <c r="Q238" s="655"/>
      <c r="R238" s="655"/>
      <c r="S238" s="655"/>
      <c r="T238" s="655"/>
      <c r="U238" s="1090"/>
      <c r="V238" s="665"/>
      <c r="W238" s="665"/>
      <c r="X238" s="665"/>
      <c r="Y238" s="665"/>
      <c r="Z238" s="686"/>
      <c r="AA238" s="665"/>
      <c r="AB238" s="667"/>
      <c r="AC238" s="655"/>
      <c r="AD238" s="655"/>
      <c r="AE238" s="655">
        <v>10000</v>
      </c>
      <c r="AF238" s="655"/>
      <c r="AG238" s="655"/>
      <c r="AH238" s="655"/>
      <c r="AI238" s="655"/>
      <c r="AJ238" s="655"/>
      <c r="AK238" s="687"/>
      <c r="AL238" s="669">
        <v>10000</v>
      </c>
      <c r="AM238" s="791">
        <f t="shared" ref="AM238" si="71">(V238+W238+X238+Y238+Z238+AB238+AC238+AD238+AE238+AF238+AG238+AH238+AI238+AJ238+AK238)-AL238</f>
        <v>0</v>
      </c>
      <c r="AN238" s="852" t="s">
        <v>656</v>
      </c>
    </row>
    <row r="239" spans="1:40" s="379" customFormat="1" ht="21.75" thickBot="1" x14ac:dyDescent="0.4">
      <c r="A239" s="850" t="s">
        <v>28</v>
      </c>
      <c r="B239" s="846">
        <v>3411</v>
      </c>
      <c r="C239" s="903" t="s">
        <v>474</v>
      </c>
      <c r="D239" s="863" t="s">
        <v>376</v>
      </c>
      <c r="E239" s="665"/>
      <c r="F239" s="798"/>
      <c r="G239" s="798"/>
      <c r="H239" s="798"/>
      <c r="I239" s="665"/>
      <c r="J239" s="666"/>
      <c r="K239" s="667"/>
      <c r="L239" s="655"/>
      <c r="M239" s="655">
        <f>AD239-AL239</f>
        <v>0</v>
      </c>
      <c r="N239" s="655"/>
      <c r="O239" s="655"/>
      <c r="P239" s="655"/>
      <c r="Q239" s="655"/>
      <c r="R239" s="655"/>
      <c r="S239" s="655"/>
      <c r="T239" s="655"/>
      <c r="U239" s="837"/>
      <c r="V239" s="665"/>
      <c r="W239" s="665"/>
      <c r="X239" s="665"/>
      <c r="Y239" s="665"/>
      <c r="Z239" s="686"/>
      <c r="AA239" s="665"/>
      <c r="AB239" s="667"/>
      <c r="AC239" s="655"/>
      <c r="AD239" s="655">
        <v>6000</v>
      </c>
      <c r="AE239" s="655"/>
      <c r="AF239" s="655"/>
      <c r="AG239" s="655"/>
      <c r="AH239" s="655"/>
      <c r="AI239" s="655"/>
      <c r="AJ239" s="655"/>
      <c r="AK239" s="687"/>
      <c r="AL239" s="674">
        <v>6000</v>
      </c>
      <c r="AM239" s="669">
        <f t="shared" ref="AM239:AM257" si="72">(V239+W239+X239+Y239+Z239+AB239+AC239+AD239+AE239+AF239+AG239+AH239+AI239+AJ239+AK239)-AL239</f>
        <v>0</v>
      </c>
      <c r="AN239" s="852" t="s">
        <v>498</v>
      </c>
    </row>
    <row r="240" spans="1:40" s="1155" customFormat="1" ht="21.75" thickBot="1" x14ac:dyDescent="0.4">
      <c r="A240" s="1161" t="s">
        <v>28</v>
      </c>
      <c r="B240" s="378">
        <v>3452</v>
      </c>
      <c r="C240" s="888" t="s">
        <v>649</v>
      </c>
      <c r="D240" s="889" t="s">
        <v>653</v>
      </c>
      <c r="E240" s="383">
        <f>V240-AL240</f>
        <v>0</v>
      </c>
      <c r="F240" s="799">
        <f>W240-AL240</f>
        <v>150000</v>
      </c>
      <c r="G240" s="799">
        <f>X240-AL240</f>
        <v>0</v>
      </c>
      <c r="H240" s="799">
        <f>Y240-AL240</f>
        <v>0</v>
      </c>
      <c r="I240" s="383">
        <f>Z240-AL240</f>
        <v>0</v>
      </c>
      <c r="J240" s="384">
        <f>SUM(F240:I240)</f>
        <v>150000</v>
      </c>
      <c r="K240" s="1049">
        <f>AB240-AL240</f>
        <v>0</v>
      </c>
      <c r="L240" s="385"/>
      <c r="M240" s="385"/>
      <c r="N240" s="385"/>
      <c r="O240" s="385"/>
      <c r="P240" s="385"/>
      <c r="Q240" s="385"/>
      <c r="R240" s="385"/>
      <c r="S240" s="385"/>
      <c r="T240" s="385"/>
      <c r="U240" s="837"/>
      <c r="V240" s="1157"/>
      <c r="W240" s="356">
        <v>150000</v>
      </c>
      <c r="X240" s="356"/>
      <c r="Y240" s="356"/>
      <c r="Z240" s="387"/>
      <c r="AA240" s="356"/>
      <c r="AB240" s="358"/>
      <c r="AC240" s="388"/>
      <c r="AD240" s="388"/>
      <c r="AE240" s="388"/>
      <c r="AF240" s="388"/>
      <c r="AG240" s="388"/>
      <c r="AH240" s="388"/>
      <c r="AI240" s="388"/>
      <c r="AJ240" s="388"/>
      <c r="AK240" s="438"/>
      <c r="AL240" s="436"/>
      <c r="AM240" s="1158">
        <f t="shared" si="72"/>
        <v>150000</v>
      </c>
      <c r="AN240" s="1154"/>
    </row>
    <row r="241" spans="1:40" s="1155" customFormat="1" ht="21.75" thickBot="1" x14ac:dyDescent="0.4">
      <c r="A241" s="1161" t="s">
        <v>28</v>
      </c>
      <c r="B241" s="378">
        <v>3443</v>
      </c>
      <c r="C241" s="888" t="s">
        <v>650</v>
      </c>
      <c r="D241" s="889" t="s">
        <v>654</v>
      </c>
      <c r="E241" s="383"/>
      <c r="F241" s="799">
        <f t="shared" ref="F241:F253" si="73">W241-AL241</f>
        <v>22800</v>
      </c>
      <c r="G241" s="799"/>
      <c r="H241" s="799"/>
      <c r="I241" s="383"/>
      <c r="J241" s="384">
        <f t="shared" ref="J241:J253" si="74">SUM(F241:I241)</f>
        <v>22800</v>
      </c>
      <c r="K241" s="1049"/>
      <c r="L241" s="385"/>
      <c r="M241" s="385"/>
      <c r="N241" s="385"/>
      <c r="O241" s="385"/>
      <c r="P241" s="385"/>
      <c r="Q241" s="385"/>
      <c r="R241" s="385"/>
      <c r="S241" s="385"/>
      <c r="T241" s="385"/>
      <c r="U241" s="837"/>
      <c r="V241" s="1157"/>
      <c r="W241" s="356">
        <v>30000</v>
      </c>
      <c r="X241" s="356"/>
      <c r="Y241" s="356"/>
      <c r="Z241" s="387"/>
      <c r="AA241" s="356"/>
      <c r="AB241" s="358"/>
      <c r="AC241" s="388"/>
      <c r="AD241" s="388"/>
      <c r="AE241" s="388"/>
      <c r="AF241" s="388"/>
      <c r="AG241" s="388"/>
      <c r="AH241" s="388"/>
      <c r="AI241" s="388"/>
      <c r="AJ241" s="388"/>
      <c r="AK241" s="438"/>
      <c r="AL241" s="436">
        <v>7200</v>
      </c>
      <c r="AM241" s="1158">
        <f t="shared" si="72"/>
        <v>22800</v>
      </c>
      <c r="AN241" s="1154" t="s">
        <v>682</v>
      </c>
    </row>
    <row r="242" spans="1:40" s="1155" customFormat="1" ht="21.75" thickBot="1" x14ac:dyDescent="0.4">
      <c r="A242" s="1161" t="s">
        <v>28</v>
      </c>
      <c r="B242" s="378">
        <v>3453</v>
      </c>
      <c r="C242" s="888" t="s">
        <v>649</v>
      </c>
      <c r="D242" s="889" t="s">
        <v>653</v>
      </c>
      <c r="E242" s="383">
        <f t="shared" ref="E242:E253" si="75">V242-AL242</f>
        <v>0</v>
      </c>
      <c r="F242" s="799">
        <f t="shared" si="73"/>
        <v>0</v>
      </c>
      <c r="G242" s="799">
        <f t="shared" ref="G242:G253" si="76">X242-AL242</f>
        <v>90000</v>
      </c>
      <c r="H242" s="799">
        <f t="shared" ref="H242:H253" si="77">Y242-AL242</f>
        <v>0</v>
      </c>
      <c r="I242" s="383">
        <f t="shared" ref="I242:I253" si="78">Z242-AL242</f>
        <v>0</v>
      </c>
      <c r="J242" s="384">
        <f t="shared" si="74"/>
        <v>90000</v>
      </c>
      <c r="K242" s="1049">
        <f t="shared" ref="K242:K253" si="79">AB242-AL242</f>
        <v>0</v>
      </c>
      <c r="L242" s="385"/>
      <c r="M242" s="385"/>
      <c r="N242" s="385"/>
      <c r="O242" s="385"/>
      <c r="P242" s="385"/>
      <c r="Q242" s="385"/>
      <c r="R242" s="385"/>
      <c r="S242" s="385"/>
      <c r="T242" s="385"/>
      <c r="U242" s="837"/>
      <c r="V242" s="1157"/>
      <c r="W242" s="356"/>
      <c r="X242" s="356">
        <v>90000</v>
      </c>
      <c r="Y242" s="356"/>
      <c r="Z242" s="387"/>
      <c r="AA242" s="356"/>
      <c r="AB242" s="358"/>
      <c r="AC242" s="388"/>
      <c r="AD242" s="388"/>
      <c r="AE242" s="388"/>
      <c r="AF242" s="388"/>
      <c r="AG242" s="388"/>
      <c r="AH242" s="388"/>
      <c r="AI242" s="388"/>
      <c r="AJ242" s="388"/>
      <c r="AK242" s="438"/>
      <c r="AL242" s="436"/>
      <c r="AM242" s="1158">
        <f t="shared" si="72"/>
        <v>90000</v>
      </c>
      <c r="AN242" s="1154"/>
    </row>
    <row r="243" spans="1:40" s="1155" customFormat="1" ht="21.75" thickBot="1" x14ac:dyDescent="0.4">
      <c r="A243" s="1161" t="s">
        <v>28</v>
      </c>
      <c r="B243" s="378">
        <v>3443</v>
      </c>
      <c r="C243" s="888" t="s">
        <v>650</v>
      </c>
      <c r="D243" s="889" t="s">
        <v>654</v>
      </c>
      <c r="E243" s="383"/>
      <c r="F243" s="799"/>
      <c r="G243" s="799">
        <f t="shared" si="76"/>
        <v>22800</v>
      </c>
      <c r="H243" s="799"/>
      <c r="I243" s="383"/>
      <c r="J243" s="384">
        <f t="shared" si="74"/>
        <v>22800</v>
      </c>
      <c r="K243" s="1049"/>
      <c r="L243" s="385"/>
      <c r="M243" s="385"/>
      <c r="N243" s="385"/>
      <c r="O243" s="385"/>
      <c r="P243" s="385"/>
      <c r="Q243" s="385"/>
      <c r="R243" s="385"/>
      <c r="S243" s="385"/>
      <c r="T243" s="385"/>
      <c r="U243" s="837"/>
      <c r="V243" s="1157"/>
      <c r="W243" s="356"/>
      <c r="X243" s="356">
        <v>30000</v>
      </c>
      <c r="Y243" s="356"/>
      <c r="Z243" s="387"/>
      <c r="AA243" s="356"/>
      <c r="AB243" s="358"/>
      <c r="AC243" s="388"/>
      <c r="AD243" s="388"/>
      <c r="AE243" s="388"/>
      <c r="AF243" s="388"/>
      <c r="AG243" s="388"/>
      <c r="AH243" s="388"/>
      <c r="AI243" s="388"/>
      <c r="AJ243" s="388"/>
      <c r="AK243" s="438"/>
      <c r="AL243" s="436">
        <v>7200</v>
      </c>
      <c r="AM243" s="1158">
        <f t="shared" si="72"/>
        <v>22800</v>
      </c>
      <c r="AN243" s="1154" t="s">
        <v>682</v>
      </c>
    </row>
    <row r="244" spans="1:40" s="1155" customFormat="1" ht="21.75" thickBot="1" x14ac:dyDescent="0.4">
      <c r="A244" s="1161" t="s">
        <v>28</v>
      </c>
      <c r="B244" s="378">
        <v>3454</v>
      </c>
      <c r="C244" s="888" t="s">
        <v>649</v>
      </c>
      <c r="D244" s="889" t="s">
        <v>653</v>
      </c>
      <c r="E244" s="383">
        <f t="shared" si="75"/>
        <v>0</v>
      </c>
      <c r="F244" s="799">
        <f t="shared" si="73"/>
        <v>0</v>
      </c>
      <c r="G244" s="799">
        <f t="shared" si="76"/>
        <v>0</v>
      </c>
      <c r="H244" s="799">
        <f t="shared" si="77"/>
        <v>60000</v>
      </c>
      <c r="I244" s="383">
        <f t="shared" si="78"/>
        <v>0</v>
      </c>
      <c r="J244" s="384">
        <f t="shared" si="74"/>
        <v>60000</v>
      </c>
      <c r="K244" s="1049">
        <f t="shared" si="79"/>
        <v>0</v>
      </c>
      <c r="L244" s="385"/>
      <c r="M244" s="385"/>
      <c r="N244" s="385"/>
      <c r="O244" s="385"/>
      <c r="P244" s="385"/>
      <c r="Q244" s="385"/>
      <c r="R244" s="385"/>
      <c r="S244" s="385"/>
      <c r="T244" s="385"/>
      <c r="U244" s="837"/>
      <c r="V244" s="1157"/>
      <c r="W244" s="356"/>
      <c r="X244" s="356"/>
      <c r="Y244" s="356">
        <v>60000</v>
      </c>
      <c r="Z244" s="387"/>
      <c r="AA244" s="356"/>
      <c r="AB244" s="358"/>
      <c r="AC244" s="388"/>
      <c r="AD244" s="388"/>
      <c r="AE244" s="388"/>
      <c r="AF244" s="388"/>
      <c r="AG244" s="388"/>
      <c r="AH244" s="388"/>
      <c r="AI244" s="388"/>
      <c r="AJ244" s="388"/>
      <c r="AK244" s="438"/>
      <c r="AL244" s="436">
        <v>0</v>
      </c>
      <c r="AM244" s="1158">
        <f t="shared" si="72"/>
        <v>60000</v>
      </c>
      <c r="AN244" s="1154"/>
    </row>
    <row r="245" spans="1:40" s="1155" customFormat="1" ht="21.75" thickBot="1" x14ac:dyDescent="0.4">
      <c r="A245" s="1161" t="s">
        <v>28</v>
      </c>
      <c r="B245" s="378">
        <v>3443</v>
      </c>
      <c r="C245" s="888" t="s">
        <v>650</v>
      </c>
      <c r="D245" s="889" t="s">
        <v>654</v>
      </c>
      <c r="E245" s="383"/>
      <c r="F245" s="799"/>
      <c r="G245" s="799"/>
      <c r="H245" s="799">
        <f t="shared" si="77"/>
        <v>22800</v>
      </c>
      <c r="I245" s="383"/>
      <c r="J245" s="384">
        <f t="shared" si="74"/>
        <v>22800</v>
      </c>
      <c r="K245" s="1049"/>
      <c r="L245" s="385"/>
      <c r="M245" s="385"/>
      <c r="N245" s="385"/>
      <c r="O245" s="385"/>
      <c r="P245" s="385"/>
      <c r="Q245" s="385"/>
      <c r="R245" s="385"/>
      <c r="S245" s="385"/>
      <c r="T245" s="385"/>
      <c r="U245" s="837"/>
      <c r="V245" s="1157"/>
      <c r="W245" s="356"/>
      <c r="X245" s="356"/>
      <c r="Y245" s="356">
        <v>30000</v>
      </c>
      <c r="Z245" s="387"/>
      <c r="AA245" s="356"/>
      <c r="AB245" s="358"/>
      <c r="AC245" s="388"/>
      <c r="AD245" s="388"/>
      <c r="AE245" s="388"/>
      <c r="AF245" s="388"/>
      <c r="AG245" s="388"/>
      <c r="AH245" s="388"/>
      <c r="AI245" s="388"/>
      <c r="AJ245" s="388"/>
      <c r="AK245" s="438"/>
      <c r="AL245" s="436">
        <v>7200</v>
      </c>
      <c r="AM245" s="1158">
        <f t="shared" si="72"/>
        <v>22800</v>
      </c>
      <c r="AN245" s="1154" t="s">
        <v>682</v>
      </c>
    </row>
    <row r="246" spans="1:40" s="1155" customFormat="1" ht="21.75" thickBot="1" x14ac:dyDescent="0.4">
      <c r="A246" s="1161" t="s">
        <v>28</v>
      </c>
      <c r="B246" s="378">
        <v>3455</v>
      </c>
      <c r="C246" s="888" t="s">
        <v>649</v>
      </c>
      <c r="D246" s="889" t="s">
        <v>653</v>
      </c>
      <c r="E246" s="383">
        <f t="shared" si="75"/>
        <v>0</v>
      </c>
      <c r="F246" s="799">
        <f t="shared" si="73"/>
        <v>0</v>
      </c>
      <c r="G246" s="799">
        <f t="shared" si="76"/>
        <v>0</v>
      </c>
      <c r="H246" s="799">
        <f t="shared" si="77"/>
        <v>0</v>
      </c>
      <c r="I246" s="383">
        <f t="shared" si="78"/>
        <v>60000</v>
      </c>
      <c r="J246" s="384">
        <f t="shared" si="74"/>
        <v>60000</v>
      </c>
      <c r="K246" s="1049">
        <f t="shared" si="79"/>
        <v>0</v>
      </c>
      <c r="L246" s="385"/>
      <c r="M246" s="385"/>
      <c r="N246" s="385"/>
      <c r="O246" s="385"/>
      <c r="P246" s="385"/>
      <c r="Q246" s="385"/>
      <c r="R246" s="385"/>
      <c r="S246" s="385"/>
      <c r="T246" s="385"/>
      <c r="U246" s="837"/>
      <c r="V246" s="1157"/>
      <c r="W246" s="356"/>
      <c r="X246" s="356"/>
      <c r="Y246" s="356"/>
      <c r="Z246" s="387">
        <v>60000</v>
      </c>
      <c r="AA246" s="356"/>
      <c r="AB246" s="358"/>
      <c r="AC246" s="388"/>
      <c r="AD246" s="388"/>
      <c r="AE246" s="388"/>
      <c r="AF246" s="388"/>
      <c r="AG246" s="388"/>
      <c r="AH246" s="388"/>
      <c r="AI246" s="388"/>
      <c r="AJ246" s="388"/>
      <c r="AK246" s="438"/>
      <c r="AL246" s="436"/>
      <c r="AM246" s="1158">
        <f t="shared" si="72"/>
        <v>60000</v>
      </c>
      <c r="AN246" s="1154"/>
    </row>
    <row r="247" spans="1:40" s="1155" customFormat="1" ht="21.75" thickBot="1" x14ac:dyDescent="0.4">
      <c r="A247" s="1161" t="s">
        <v>28</v>
      </c>
      <c r="B247" s="378">
        <v>3443</v>
      </c>
      <c r="C247" s="888" t="s">
        <v>650</v>
      </c>
      <c r="D247" s="889" t="s">
        <v>654</v>
      </c>
      <c r="E247" s="383"/>
      <c r="F247" s="799"/>
      <c r="G247" s="799"/>
      <c r="H247" s="799"/>
      <c r="I247" s="383">
        <f t="shared" si="78"/>
        <v>22800</v>
      </c>
      <c r="J247" s="384">
        <f t="shared" si="74"/>
        <v>22800</v>
      </c>
      <c r="K247" s="1049"/>
      <c r="L247" s="385"/>
      <c r="M247" s="385"/>
      <c r="N247" s="385"/>
      <c r="O247" s="385"/>
      <c r="P247" s="385"/>
      <c r="Q247" s="385"/>
      <c r="R247" s="385"/>
      <c r="S247" s="385"/>
      <c r="T247" s="385"/>
      <c r="U247" s="837"/>
      <c r="V247" s="1157"/>
      <c r="W247" s="356"/>
      <c r="X247" s="356"/>
      <c r="Y247" s="356"/>
      <c r="Z247" s="387">
        <v>30000</v>
      </c>
      <c r="AA247" s="356"/>
      <c r="AB247" s="358"/>
      <c r="AC247" s="388"/>
      <c r="AD247" s="388"/>
      <c r="AE247" s="388"/>
      <c r="AF247" s="388"/>
      <c r="AG247" s="388"/>
      <c r="AH247" s="388"/>
      <c r="AI247" s="388"/>
      <c r="AJ247" s="388"/>
      <c r="AK247" s="438"/>
      <c r="AL247" s="436">
        <v>7200</v>
      </c>
      <c r="AM247" s="1158">
        <f t="shared" si="72"/>
        <v>22800</v>
      </c>
      <c r="AN247" s="1154" t="s">
        <v>682</v>
      </c>
    </row>
    <row r="248" spans="1:40" s="1155" customFormat="1" ht="21.75" thickBot="1" x14ac:dyDescent="0.4">
      <c r="A248" s="950" t="s">
        <v>28</v>
      </c>
      <c r="B248" s="846">
        <v>3442</v>
      </c>
      <c r="C248" s="903" t="s">
        <v>651</v>
      </c>
      <c r="D248" s="863" t="s">
        <v>654</v>
      </c>
      <c r="E248" s="665">
        <f t="shared" si="75"/>
        <v>0</v>
      </c>
      <c r="F248" s="798"/>
      <c r="G248" s="798"/>
      <c r="H248" s="798"/>
      <c r="I248" s="665"/>
      <c r="J248" s="666">
        <f t="shared" si="74"/>
        <v>0</v>
      </c>
      <c r="K248" s="667"/>
      <c r="L248" s="655"/>
      <c r="M248" s="655"/>
      <c r="N248" s="655"/>
      <c r="O248" s="655"/>
      <c r="P248" s="655"/>
      <c r="Q248" s="655"/>
      <c r="R248" s="655"/>
      <c r="S248" s="655"/>
      <c r="T248" s="655"/>
      <c r="U248" s="1153"/>
      <c r="V248" s="664">
        <v>237500</v>
      </c>
      <c r="W248" s="665"/>
      <c r="X248" s="665"/>
      <c r="Y248" s="665"/>
      <c r="Z248" s="686"/>
      <c r="AA248" s="665"/>
      <c r="AB248" s="667"/>
      <c r="AC248" s="655"/>
      <c r="AD248" s="655"/>
      <c r="AE248" s="655"/>
      <c r="AF248" s="655"/>
      <c r="AG248" s="655"/>
      <c r="AH248" s="655"/>
      <c r="AI248" s="655"/>
      <c r="AJ248" s="655"/>
      <c r="AK248" s="687"/>
      <c r="AL248" s="669">
        <f>25000+212500</f>
        <v>237500</v>
      </c>
      <c r="AM248" s="670">
        <f t="shared" si="72"/>
        <v>0</v>
      </c>
      <c r="AN248" s="852" t="s">
        <v>706</v>
      </c>
    </row>
    <row r="249" spans="1:40" s="1155" customFormat="1" ht="21.75" thickBot="1" x14ac:dyDescent="0.4">
      <c r="A249" s="1161" t="s">
        <v>28</v>
      </c>
      <c r="B249" s="378">
        <v>3457</v>
      </c>
      <c r="C249" s="888" t="s">
        <v>649</v>
      </c>
      <c r="D249" s="889" t="s">
        <v>653</v>
      </c>
      <c r="E249" s="383">
        <f t="shared" si="75"/>
        <v>0</v>
      </c>
      <c r="F249" s="799">
        <f t="shared" si="73"/>
        <v>0</v>
      </c>
      <c r="G249" s="799">
        <f t="shared" si="76"/>
        <v>0</v>
      </c>
      <c r="H249" s="799">
        <f t="shared" si="77"/>
        <v>0</v>
      </c>
      <c r="I249" s="383">
        <f t="shared" si="78"/>
        <v>0</v>
      </c>
      <c r="J249" s="384">
        <f t="shared" si="74"/>
        <v>0</v>
      </c>
      <c r="K249" s="1049">
        <f t="shared" si="79"/>
        <v>200000</v>
      </c>
      <c r="L249" s="385"/>
      <c r="M249" s="385"/>
      <c r="N249" s="385"/>
      <c r="O249" s="385"/>
      <c r="P249" s="385"/>
      <c r="Q249" s="385"/>
      <c r="R249" s="385"/>
      <c r="S249" s="385"/>
      <c r="T249" s="385"/>
      <c r="U249" s="837"/>
      <c r="V249" s="1157"/>
      <c r="W249" s="356"/>
      <c r="X249" s="356"/>
      <c r="Y249" s="356"/>
      <c r="Z249" s="387"/>
      <c r="AA249" s="356"/>
      <c r="AB249" s="358">
        <v>200000</v>
      </c>
      <c r="AC249" s="388"/>
      <c r="AD249" s="388"/>
      <c r="AE249" s="388"/>
      <c r="AF249" s="388"/>
      <c r="AG249" s="388"/>
      <c r="AH249" s="388"/>
      <c r="AI249" s="388"/>
      <c r="AJ249" s="388"/>
      <c r="AK249" s="438"/>
      <c r="AL249" s="436"/>
      <c r="AM249" s="1158">
        <f t="shared" si="72"/>
        <v>200000</v>
      </c>
      <c r="AN249" s="1154"/>
    </row>
    <row r="250" spans="1:40" s="1155" customFormat="1" ht="21.75" thickBot="1" x14ac:dyDescent="0.4">
      <c r="A250" s="950" t="s">
        <v>28</v>
      </c>
      <c r="B250" s="846">
        <v>3444</v>
      </c>
      <c r="C250" s="903" t="s">
        <v>652</v>
      </c>
      <c r="D250" s="863" t="s">
        <v>654</v>
      </c>
      <c r="E250" s="665"/>
      <c r="F250" s="798"/>
      <c r="G250" s="798"/>
      <c r="H250" s="798"/>
      <c r="I250" s="665"/>
      <c r="J250" s="666">
        <f t="shared" si="74"/>
        <v>0</v>
      </c>
      <c r="K250" s="667">
        <f t="shared" si="79"/>
        <v>0</v>
      </c>
      <c r="L250" s="655"/>
      <c r="M250" s="655"/>
      <c r="N250" s="655"/>
      <c r="O250" s="655"/>
      <c r="P250" s="655"/>
      <c r="Q250" s="655"/>
      <c r="R250" s="655"/>
      <c r="S250" s="655"/>
      <c r="T250" s="655"/>
      <c r="U250" s="1153"/>
      <c r="V250" s="664"/>
      <c r="W250" s="665"/>
      <c r="X250" s="665"/>
      <c r="Y250" s="665"/>
      <c r="Z250" s="686"/>
      <c r="AA250" s="665"/>
      <c r="AB250" s="667">
        <v>500000</v>
      </c>
      <c r="AC250" s="655"/>
      <c r="AD250" s="655"/>
      <c r="AE250" s="655"/>
      <c r="AF250" s="655"/>
      <c r="AG250" s="655"/>
      <c r="AH250" s="655"/>
      <c r="AI250" s="655"/>
      <c r="AJ250" s="655"/>
      <c r="AK250" s="687"/>
      <c r="AL250" s="669">
        <v>500000</v>
      </c>
      <c r="AM250" s="791">
        <f t="shared" si="72"/>
        <v>0</v>
      </c>
      <c r="AN250" s="852" t="s">
        <v>683</v>
      </c>
    </row>
    <row r="251" spans="1:40" s="1155" customFormat="1" ht="21.75" thickBot="1" x14ac:dyDescent="0.4">
      <c r="A251" s="950" t="s">
        <v>28</v>
      </c>
      <c r="B251" s="846">
        <v>3443</v>
      </c>
      <c r="C251" s="903" t="s">
        <v>650</v>
      </c>
      <c r="D251" s="863" t="s">
        <v>654</v>
      </c>
      <c r="E251" s="665"/>
      <c r="F251" s="798"/>
      <c r="G251" s="798"/>
      <c r="H251" s="798"/>
      <c r="I251" s="665"/>
      <c r="J251" s="666">
        <f t="shared" si="74"/>
        <v>0</v>
      </c>
      <c r="K251" s="667">
        <f t="shared" si="79"/>
        <v>0</v>
      </c>
      <c r="L251" s="655"/>
      <c r="M251" s="655"/>
      <c r="N251" s="655"/>
      <c r="O251" s="655"/>
      <c r="P251" s="655"/>
      <c r="Q251" s="655"/>
      <c r="R251" s="655"/>
      <c r="S251" s="655"/>
      <c r="T251" s="655"/>
      <c r="U251" s="1153"/>
      <c r="V251" s="664"/>
      <c r="W251" s="665"/>
      <c r="X251" s="665"/>
      <c r="Y251" s="665"/>
      <c r="Z251" s="686"/>
      <c r="AA251" s="665"/>
      <c r="AB251" s="667">
        <v>400000</v>
      </c>
      <c r="AC251" s="655"/>
      <c r="AD251" s="655"/>
      <c r="AE251" s="655"/>
      <c r="AF251" s="655"/>
      <c r="AG251" s="655"/>
      <c r="AH251" s="655"/>
      <c r="AI251" s="655"/>
      <c r="AJ251" s="655"/>
      <c r="AK251" s="687"/>
      <c r="AL251" s="669">
        <f>50000+350000</f>
        <v>400000</v>
      </c>
      <c r="AM251" s="791">
        <f t="shared" si="72"/>
        <v>0</v>
      </c>
      <c r="AN251" s="852" t="s">
        <v>704</v>
      </c>
    </row>
    <row r="252" spans="1:40" s="1155" customFormat="1" ht="21.75" thickBot="1" x14ac:dyDescent="0.4">
      <c r="A252" s="1161" t="s">
        <v>28</v>
      </c>
      <c r="B252" s="378">
        <v>3456</v>
      </c>
      <c r="C252" s="888" t="s">
        <v>649</v>
      </c>
      <c r="D252" s="889" t="s">
        <v>653</v>
      </c>
      <c r="E252" s="383">
        <f t="shared" si="75"/>
        <v>0</v>
      </c>
      <c r="F252" s="799">
        <f t="shared" si="73"/>
        <v>0</v>
      </c>
      <c r="G252" s="799">
        <f t="shared" si="76"/>
        <v>0</v>
      </c>
      <c r="H252" s="799">
        <f t="shared" si="77"/>
        <v>0</v>
      </c>
      <c r="I252" s="383">
        <f t="shared" si="78"/>
        <v>0</v>
      </c>
      <c r="J252" s="384">
        <f t="shared" si="74"/>
        <v>0</v>
      </c>
      <c r="K252" s="1049">
        <f t="shared" si="79"/>
        <v>0</v>
      </c>
      <c r="L252" s="385"/>
      <c r="M252" s="385"/>
      <c r="N252" s="385"/>
      <c r="O252" s="385"/>
      <c r="P252" s="385">
        <f>AG252-AL252</f>
        <v>2000</v>
      </c>
      <c r="Q252" s="385"/>
      <c r="R252" s="385"/>
      <c r="S252" s="385"/>
      <c r="T252" s="385"/>
      <c r="U252" s="837"/>
      <c r="V252" s="1157"/>
      <c r="W252" s="356"/>
      <c r="X252" s="356"/>
      <c r="Y252" s="356"/>
      <c r="Z252" s="387"/>
      <c r="AA252" s="356"/>
      <c r="AB252" s="358"/>
      <c r="AC252" s="388"/>
      <c r="AD252" s="388"/>
      <c r="AE252" s="388"/>
      <c r="AF252" s="388"/>
      <c r="AG252" s="388">
        <v>2000</v>
      </c>
      <c r="AH252" s="388"/>
      <c r="AI252" s="388"/>
      <c r="AJ252" s="388"/>
      <c r="AK252" s="438"/>
      <c r="AL252" s="436"/>
      <c r="AM252" s="1158">
        <f t="shared" si="72"/>
        <v>2000</v>
      </c>
      <c r="AN252" s="1154"/>
    </row>
    <row r="253" spans="1:40" s="1155" customFormat="1" ht="21.75" thickBot="1" x14ac:dyDescent="0.4">
      <c r="A253" s="380" t="s">
        <v>28</v>
      </c>
      <c r="B253" s="378">
        <v>3457</v>
      </c>
      <c r="C253" s="888" t="s">
        <v>649</v>
      </c>
      <c r="D253" s="889" t="s">
        <v>653</v>
      </c>
      <c r="E253" s="383">
        <f t="shared" si="75"/>
        <v>0</v>
      </c>
      <c r="F253" s="799">
        <f t="shared" si="73"/>
        <v>0</v>
      </c>
      <c r="G253" s="799">
        <f t="shared" si="76"/>
        <v>0</v>
      </c>
      <c r="H253" s="799">
        <f t="shared" si="77"/>
        <v>0</v>
      </c>
      <c r="I253" s="383">
        <f t="shared" si="78"/>
        <v>0</v>
      </c>
      <c r="J253" s="384">
        <f t="shared" si="74"/>
        <v>0</v>
      </c>
      <c r="K253" s="1049">
        <f t="shared" si="79"/>
        <v>0</v>
      </c>
      <c r="L253" s="385"/>
      <c r="M253" s="385"/>
      <c r="N253" s="385"/>
      <c r="O253" s="385"/>
      <c r="P253" s="385"/>
      <c r="Q253" s="385">
        <f>AH253-AL253</f>
        <v>100000</v>
      </c>
      <c r="R253" s="385"/>
      <c r="S253" s="385"/>
      <c r="T253" s="385"/>
      <c r="U253" s="837"/>
      <c r="V253" s="1157"/>
      <c r="W253" s="356"/>
      <c r="X253" s="356"/>
      <c r="Y253" s="356"/>
      <c r="Z253" s="387"/>
      <c r="AA253" s="356"/>
      <c r="AB253" s="358"/>
      <c r="AC253" s="388"/>
      <c r="AD253" s="388"/>
      <c r="AE253" s="388"/>
      <c r="AF253" s="388"/>
      <c r="AG253" s="388"/>
      <c r="AH253" s="388">
        <v>100000</v>
      </c>
      <c r="AI253" s="388"/>
      <c r="AJ253" s="388"/>
      <c r="AK253" s="438"/>
      <c r="AL253" s="436"/>
      <c r="AM253" s="1158">
        <f t="shared" si="72"/>
        <v>100000</v>
      </c>
      <c r="AN253" s="1154"/>
    </row>
    <row r="254" spans="1:40" s="1155" customFormat="1" ht="21.75" thickBot="1" x14ac:dyDescent="0.4">
      <c r="A254" s="380" t="s">
        <v>28</v>
      </c>
      <c r="B254" s="378">
        <v>3459</v>
      </c>
      <c r="C254" s="888" t="s">
        <v>657</v>
      </c>
      <c r="D254" s="889" t="s">
        <v>653</v>
      </c>
      <c r="E254" s="383"/>
      <c r="F254" s="799"/>
      <c r="G254" s="799"/>
      <c r="H254" s="799"/>
      <c r="I254" s="383"/>
      <c r="J254" s="384"/>
      <c r="K254" s="1049"/>
      <c r="L254" s="385"/>
      <c r="M254" s="385"/>
      <c r="N254" s="385">
        <f>AE254-AL254</f>
        <v>7000</v>
      </c>
      <c r="O254" s="385"/>
      <c r="P254" s="385"/>
      <c r="Q254" s="385"/>
      <c r="R254" s="385"/>
      <c r="S254" s="385"/>
      <c r="T254" s="385"/>
      <c r="U254" s="837"/>
      <c r="V254" s="356"/>
      <c r="W254" s="356"/>
      <c r="X254" s="356"/>
      <c r="Y254" s="356"/>
      <c r="Z254" s="387"/>
      <c r="AA254" s="356"/>
      <c r="AB254" s="358"/>
      <c r="AC254" s="1174"/>
      <c r="AD254" s="388"/>
      <c r="AE254" s="388">
        <v>7000</v>
      </c>
      <c r="AF254" s="388"/>
      <c r="AG254" s="388"/>
      <c r="AH254" s="388"/>
      <c r="AI254" s="388"/>
      <c r="AJ254" s="388"/>
      <c r="AK254" s="438"/>
      <c r="AL254" s="436"/>
      <c r="AM254" s="1158">
        <f t="shared" si="72"/>
        <v>7000</v>
      </c>
      <c r="AN254" s="1154"/>
    </row>
    <row r="255" spans="1:40" s="1155" customFormat="1" ht="21.75" thickBot="1" x14ac:dyDescent="0.4">
      <c r="A255" s="850" t="s">
        <v>28</v>
      </c>
      <c r="B255" s="846">
        <v>3459</v>
      </c>
      <c r="C255" s="903" t="s">
        <v>657</v>
      </c>
      <c r="D255" s="863" t="s">
        <v>653</v>
      </c>
      <c r="E255" s="665"/>
      <c r="F255" s="798"/>
      <c r="G255" s="798"/>
      <c r="H255" s="798"/>
      <c r="I255" s="665"/>
      <c r="J255" s="666"/>
      <c r="K255" s="667"/>
      <c r="L255" s="655"/>
      <c r="M255" s="655">
        <f>AD255-AL255</f>
        <v>0</v>
      </c>
      <c r="N255" s="655"/>
      <c r="O255" s="655"/>
      <c r="P255" s="655"/>
      <c r="Q255" s="655"/>
      <c r="R255" s="655"/>
      <c r="S255" s="655"/>
      <c r="T255" s="655"/>
      <c r="U255" s="1153"/>
      <c r="V255" s="665"/>
      <c r="W255" s="665"/>
      <c r="X255" s="665"/>
      <c r="Y255" s="665"/>
      <c r="Z255" s="686"/>
      <c r="AA255" s="665"/>
      <c r="AB255" s="667"/>
      <c r="AC255" s="1097"/>
      <c r="AD255" s="655">
        <v>10000</v>
      </c>
      <c r="AE255" s="655"/>
      <c r="AF255" s="655"/>
      <c r="AG255" s="655"/>
      <c r="AH255" s="655"/>
      <c r="AI255" s="655"/>
      <c r="AJ255" s="655"/>
      <c r="AK255" s="687"/>
      <c r="AL255" s="669">
        <v>10000</v>
      </c>
      <c r="AM255" s="670">
        <f t="shared" si="72"/>
        <v>0</v>
      </c>
      <c r="AN255" s="852" t="s">
        <v>705</v>
      </c>
    </row>
    <row r="256" spans="1:40" s="1155" customFormat="1" ht="21.75" thickBot="1" x14ac:dyDescent="0.4">
      <c r="A256" s="380" t="s">
        <v>28</v>
      </c>
      <c r="B256" s="378">
        <v>3458</v>
      </c>
      <c r="C256" s="888" t="s">
        <v>649</v>
      </c>
      <c r="D256" s="889" t="s">
        <v>653</v>
      </c>
      <c r="E256" s="383"/>
      <c r="F256" s="799"/>
      <c r="G256" s="799"/>
      <c r="H256" s="799"/>
      <c r="I256" s="383"/>
      <c r="J256" s="384"/>
      <c r="K256" s="1170"/>
      <c r="L256" s="385">
        <f>AC256-AL256</f>
        <v>150000</v>
      </c>
      <c r="M256" s="385"/>
      <c r="N256" s="385"/>
      <c r="O256" s="385"/>
      <c r="P256" s="385"/>
      <c r="Q256" s="385"/>
      <c r="R256" s="385"/>
      <c r="S256" s="385"/>
      <c r="T256" s="385"/>
      <c r="U256" s="837"/>
      <c r="V256" s="356"/>
      <c r="W256" s="356"/>
      <c r="X256" s="356"/>
      <c r="Y256" s="356"/>
      <c r="Z256" s="387"/>
      <c r="AA256" s="356"/>
      <c r="AB256" s="358"/>
      <c r="AC256" s="1174">
        <v>150000</v>
      </c>
      <c r="AD256" s="388"/>
      <c r="AE256" s="388"/>
      <c r="AF256" s="388"/>
      <c r="AG256" s="388"/>
      <c r="AH256" s="388"/>
      <c r="AI256" s="388"/>
      <c r="AJ256" s="388"/>
      <c r="AK256" s="438"/>
      <c r="AL256" s="1193"/>
      <c r="AM256" s="1158">
        <f t="shared" si="72"/>
        <v>150000</v>
      </c>
      <c r="AN256" s="1154"/>
    </row>
    <row r="257" spans="1:40" s="1155" customFormat="1" ht="21.75" thickBot="1" x14ac:dyDescent="0.4">
      <c r="A257" s="380" t="s">
        <v>28</v>
      </c>
      <c r="B257" s="378">
        <v>3538</v>
      </c>
      <c r="C257" s="888">
        <v>45996</v>
      </c>
      <c r="D257" s="889">
        <v>46203</v>
      </c>
      <c r="E257" s="383">
        <f t="shared" ref="E257" si="80">V257-AL257</f>
        <v>225000</v>
      </c>
      <c r="F257" s="799"/>
      <c r="G257" s="799"/>
      <c r="H257" s="799"/>
      <c r="I257" s="383"/>
      <c r="J257" s="384"/>
      <c r="K257" s="1187"/>
      <c r="L257" s="385"/>
      <c r="M257" s="385"/>
      <c r="N257" s="385"/>
      <c r="O257" s="385"/>
      <c r="P257" s="385"/>
      <c r="Q257" s="385"/>
      <c r="R257" s="385"/>
      <c r="S257" s="385"/>
      <c r="T257" s="385"/>
      <c r="U257" s="837"/>
      <c r="V257" s="1159">
        <v>225000</v>
      </c>
      <c r="W257" s="1159"/>
      <c r="X257" s="1159"/>
      <c r="Y257" s="1159"/>
      <c r="Z257" s="1160"/>
      <c r="AA257" s="1159"/>
      <c r="AB257" s="1030"/>
      <c r="AC257" s="955"/>
      <c r="AD257" s="955"/>
      <c r="AE257" s="955"/>
      <c r="AF257" s="955"/>
      <c r="AG257" s="955"/>
      <c r="AH257" s="955"/>
      <c r="AI257" s="955"/>
      <c r="AJ257" s="955"/>
      <c r="AK257" s="955"/>
      <c r="AL257" s="1192"/>
      <c r="AM257" s="1158">
        <f t="shared" si="72"/>
        <v>225000</v>
      </c>
      <c r="AN257" s="1154"/>
    </row>
    <row r="258" spans="1:40" s="39" customFormat="1" ht="23.25" customHeight="1" thickBot="1" x14ac:dyDescent="0.4">
      <c r="A258" s="444" t="s">
        <v>28</v>
      </c>
      <c r="B258" s="445" t="s">
        <v>24</v>
      </c>
      <c r="C258" s="446"/>
      <c r="D258" s="447"/>
      <c r="E258" s="448">
        <f>SUM(E193:E257)</f>
        <v>225000</v>
      </c>
      <c r="F258" s="448">
        <f t="shared" ref="F258:AM258" si="81">SUM(F193:F257)</f>
        <v>277800</v>
      </c>
      <c r="G258" s="448">
        <f t="shared" si="81"/>
        <v>208800</v>
      </c>
      <c r="H258" s="448">
        <f t="shared" si="81"/>
        <v>82800</v>
      </c>
      <c r="I258" s="448">
        <f t="shared" si="81"/>
        <v>82800</v>
      </c>
      <c r="J258" s="448">
        <f t="shared" si="81"/>
        <v>652200</v>
      </c>
      <c r="K258" s="448">
        <f t="shared" si="81"/>
        <v>200000</v>
      </c>
      <c r="L258" s="448">
        <f t="shared" si="81"/>
        <v>150000</v>
      </c>
      <c r="M258" s="448">
        <f t="shared" si="81"/>
        <v>0</v>
      </c>
      <c r="N258" s="448">
        <f t="shared" si="81"/>
        <v>7000</v>
      </c>
      <c r="O258" s="448">
        <f t="shared" si="81"/>
        <v>0</v>
      </c>
      <c r="P258" s="448">
        <f t="shared" si="81"/>
        <v>2000</v>
      </c>
      <c r="Q258" s="448">
        <f t="shared" si="81"/>
        <v>100000</v>
      </c>
      <c r="R258" s="448">
        <f t="shared" si="81"/>
        <v>0</v>
      </c>
      <c r="S258" s="448">
        <f t="shared" si="81"/>
        <v>0</v>
      </c>
      <c r="T258" s="448">
        <f t="shared" si="81"/>
        <v>0</v>
      </c>
      <c r="U258" s="837">
        <f t="shared" si="81"/>
        <v>0</v>
      </c>
      <c r="V258" s="448">
        <f t="shared" si="81"/>
        <v>1862500</v>
      </c>
      <c r="W258" s="448">
        <f t="shared" si="81"/>
        <v>331710</v>
      </c>
      <c r="X258" s="448">
        <f t="shared" si="81"/>
        <v>350400</v>
      </c>
      <c r="Y258" s="448">
        <f t="shared" si="81"/>
        <v>228420</v>
      </c>
      <c r="Z258" s="448">
        <f t="shared" si="81"/>
        <v>254280</v>
      </c>
      <c r="AA258" s="448">
        <f t="shared" si="81"/>
        <v>444450</v>
      </c>
      <c r="AB258" s="611">
        <f t="shared" si="81"/>
        <v>8018100</v>
      </c>
      <c r="AC258" s="448">
        <f t="shared" si="81"/>
        <v>623000</v>
      </c>
      <c r="AD258" s="448">
        <f t="shared" si="81"/>
        <v>96000</v>
      </c>
      <c r="AE258" s="448">
        <f t="shared" si="81"/>
        <v>97000</v>
      </c>
      <c r="AF258" s="448">
        <f t="shared" si="81"/>
        <v>19536</v>
      </c>
      <c r="AG258" s="448">
        <f t="shared" si="81"/>
        <v>2000</v>
      </c>
      <c r="AH258" s="448">
        <f t="shared" si="81"/>
        <v>300000</v>
      </c>
      <c r="AI258" s="448">
        <f t="shared" si="81"/>
        <v>0</v>
      </c>
      <c r="AJ258" s="448">
        <f t="shared" si="81"/>
        <v>0</v>
      </c>
      <c r="AK258" s="448">
        <f t="shared" si="81"/>
        <v>0</v>
      </c>
      <c r="AL258" s="1173"/>
      <c r="AM258" s="451">
        <f t="shared" si="81"/>
        <v>1336200</v>
      </c>
      <c r="AN258" s="452"/>
    </row>
    <row r="259" spans="1:40" s="39" customFormat="1" ht="21.75" thickBot="1" x14ac:dyDescent="0.4">
      <c r="A259" s="996" t="s">
        <v>80</v>
      </c>
      <c r="B259" s="1008">
        <v>782</v>
      </c>
      <c r="C259" s="1009" t="s">
        <v>151</v>
      </c>
      <c r="D259" s="1010" t="s">
        <v>152</v>
      </c>
      <c r="E259" s="991">
        <v>0</v>
      </c>
      <c r="F259" s="1000">
        <v>0</v>
      </c>
      <c r="G259" s="992">
        <v>0</v>
      </c>
      <c r="H259" s="992">
        <v>0</v>
      </c>
      <c r="I259" s="992">
        <v>0</v>
      </c>
      <c r="J259" s="666">
        <f>SUM(F259:I259)</f>
        <v>0</v>
      </c>
      <c r="K259" s="993">
        <v>0</v>
      </c>
      <c r="L259" s="994">
        <v>0</v>
      </c>
      <c r="M259" s="994">
        <v>0</v>
      </c>
      <c r="N259" s="994">
        <v>0</v>
      </c>
      <c r="O259" s="994">
        <f>AF259-AL259</f>
        <v>0</v>
      </c>
      <c r="P259" s="994">
        <v>0</v>
      </c>
      <c r="Q259" s="994">
        <v>0</v>
      </c>
      <c r="R259" s="994">
        <v>0</v>
      </c>
      <c r="S259" s="994">
        <v>0</v>
      </c>
      <c r="T259" s="994">
        <v>0</v>
      </c>
      <c r="U259" s="837"/>
      <c r="V259" s="991">
        <v>0</v>
      </c>
      <c r="W259" s="992">
        <v>0</v>
      </c>
      <c r="X259" s="992">
        <v>0</v>
      </c>
      <c r="Y259" s="992">
        <v>0</v>
      </c>
      <c r="Z259" s="992">
        <v>0</v>
      </c>
      <c r="AA259" s="992">
        <f>SUM(W259:Z259)</f>
        <v>0</v>
      </c>
      <c r="AB259" s="993">
        <v>0</v>
      </c>
      <c r="AC259" s="994">
        <v>0</v>
      </c>
      <c r="AD259" s="994">
        <v>0</v>
      </c>
      <c r="AE259" s="994">
        <v>0</v>
      </c>
      <c r="AF259" s="994">
        <v>2682</v>
      </c>
      <c r="AG259" s="994">
        <v>0</v>
      </c>
      <c r="AH259" s="994">
        <v>0</v>
      </c>
      <c r="AI259" s="994">
        <v>0</v>
      </c>
      <c r="AJ259" s="994">
        <v>0</v>
      </c>
      <c r="AK259" s="994">
        <v>0</v>
      </c>
      <c r="AL259" s="995">
        <v>2682</v>
      </c>
      <c r="AM259" s="670">
        <f t="shared" ref="AM259:AM265" si="82">(V259+W259+X259+Y259+Z259+AB259+AC259+AD259+AE259+AF259+AG259+AH259+AI259+AJ259+AK259)-AL259</f>
        <v>0</v>
      </c>
      <c r="AN259" s="1011" t="s">
        <v>448</v>
      </c>
    </row>
    <row r="260" spans="1:40" s="39" customFormat="1" ht="21.75" thickBot="1" x14ac:dyDescent="0.4">
      <c r="A260" s="845" t="s">
        <v>80</v>
      </c>
      <c r="B260" s="846">
        <v>809</v>
      </c>
      <c r="C260" s="847" t="s">
        <v>158</v>
      </c>
      <c r="D260" s="849" t="s">
        <v>157</v>
      </c>
      <c r="E260" s="664">
        <f>V260-AL260</f>
        <v>0</v>
      </c>
      <c r="F260" s="798">
        <v>0</v>
      </c>
      <c r="G260" s="665">
        <v>0</v>
      </c>
      <c r="H260" s="665">
        <v>0</v>
      </c>
      <c r="I260" s="665">
        <v>0</v>
      </c>
      <c r="J260" s="666">
        <f t="shared" ref="J260:J266" si="83">SUM(F260:I260)</f>
        <v>0</v>
      </c>
      <c r="K260" s="667">
        <v>0</v>
      </c>
      <c r="L260" s="654">
        <v>0</v>
      </c>
      <c r="M260" s="654">
        <v>0</v>
      </c>
      <c r="N260" s="654">
        <v>0</v>
      </c>
      <c r="O260" s="654">
        <v>0</v>
      </c>
      <c r="P260" s="654">
        <v>0</v>
      </c>
      <c r="Q260" s="654">
        <v>0</v>
      </c>
      <c r="R260" s="654">
        <v>0</v>
      </c>
      <c r="S260" s="654">
        <v>0</v>
      </c>
      <c r="T260" s="654">
        <v>0</v>
      </c>
      <c r="U260" s="837"/>
      <c r="V260" s="664">
        <v>250000</v>
      </c>
      <c r="W260" s="665">
        <v>0</v>
      </c>
      <c r="X260" s="665">
        <v>0</v>
      </c>
      <c r="Y260" s="665">
        <v>0</v>
      </c>
      <c r="Z260" s="673">
        <v>0</v>
      </c>
      <c r="AA260" s="666">
        <f>SUM(W260:Z260)</f>
        <v>0</v>
      </c>
      <c r="AB260" s="667">
        <v>0</v>
      </c>
      <c r="AC260" s="654">
        <v>0</v>
      </c>
      <c r="AD260" s="654">
        <v>0</v>
      </c>
      <c r="AE260" s="654">
        <v>0</v>
      </c>
      <c r="AF260" s="654">
        <v>0</v>
      </c>
      <c r="AG260" s="654">
        <v>0</v>
      </c>
      <c r="AH260" s="654">
        <v>0</v>
      </c>
      <c r="AI260" s="654">
        <v>0</v>
      </c>
      <c r="AJ260" s="654">
        <v>0</v>
      </c>
      <c r="AK260" s="654">
        <v>0</v>
      </c>
      <c r="AL260" s="674">
        <v>250000</v>
      </c>
      <c r="AM260" s="670">
        <f t="shared" si="82"/>
        <v>0</v>
      </c>
      <c r="AN260" s="852" t="s">
        <v>357</v>
      </c>
    </row>
    <row r="261" spans="1:40" s="39" customFormat="1" ht="21.75" thickBot="1" x14ac:dyDescent="0.4">
      <c r="A261" s="845" t="s">
        <v>80</v>
      </c>
      <c r="B261" s="846">
        <v>837</v>
      </c>
      <c r="C261" s="847" t="s">
        <v>161</v>
      </c>
      <c r="D261" s="849" t="s">
        <v>163</v>
      </c>
      <c r="E261" s="664"/>
      <c r="F261" s="798"/>
      <c r="G261" s="665"/>
      <c r="H261" s="665"/>
      <c r="I261" s="665"/>
      <c r="J261" s="666">
        <f t="shared" si="83"/>
        <v>0</v>
      </c>
      <c r="K261" s="667"/>
      <c r="L261" s="654"/>
      <c r="M261" s="654"/>
      <c r="N261" s="654"/>
      <c r="O261" s="654">
        <f>AF261-AL261</f>
        <v>0</v>
      </c>
      <c r="P261" s="654"/>
      <c r="Q261" s="654"/>
      <c r="R261" s="654"/>
      <c r="S261" s="654"/>
      <c r="T261" s="654"/>
      <c r="U261" s="837"/>
      <c r="V261" s="664"/>
      <c r="W261" s="665"/>
      <c r="X261" s="665"/>
      <c r="Y261" s="665"/>
      <c r="Z261" s="673"/>
      <c r="AA261" s="666">
        <f>SUM(W261:Z261)</f>
        <v>0</v>
      </c>
      <c r="AB261" s="667"/>
      <c r="AC261" s="654"/>
      <c r="AD261" s="654"/>
      <c r="AE261" s="654"/>
      <c r="AF261" s="654">
        <v>4470</v>
      </c>
      <c r="AG261" s="654"/>
      <c r="AH261" s="654"/>
      <c r="AI261" s="654"/>
      <c r="AJ261" s="654"/>
      <c r="AK261" s="654"/>
      <c r="AL261" s="674">
        <v>4470</v>
      </c>
      <c r="AM261" s="670">
        <f t="shared" si="82"/>
        <v>0</v>
      </c>
      <c r="AN261" s="852" t="s">
        <v>304</v>
      </c>
    </row>
    <row r="262" spans="1:40" s="39" customFormat="1" ht="21.75" thickBot="1" x14ac:dyDescent="0.4">
      <c r="A262" s="675" t="s">
        <v>80</v>
      </c>
      <c r="B262" s="661">
        <v>840</v>
      </c>
      <c r="C262" s="662" t="s">
        <v>177</v>
      </c>
      <c r="D262" s="672" t="s">
        <v>181</v>
      </c>
      <c r="E262" s="664"/>
      <c r="F262" s="798"/>
      <c r="G262" s="665"/>
      <c r="H262" s="665"/>
      <c r="I262" s="665"/>
      <c r="J262" s="666">
        <f t="shared" si="83"/>
        <v>0</v>
      </c>
      <c r="K262" s="667"/>
      <c r="L262" s="655"/>
      <c r="M262" s="655"/>
      <c r="N262" s="655"/>
      <c r="O262" s="655"/>
      <c r="P262" s="655"/>
      <c r="Q262" s="655"/>
      <c r="R262" s="655"/>
      <c r="S262" s="655"/>
      <c r="T262" s="655"/>
      <c r="U262" s="837"/>
      <c r="V262" s="665"/>
      <c r="W262" s="665"/>
      <c r="X262" s="665"/>
      <c r="Y262" s="665">
        <v>8000</v>
      </c>
      <c r="Z262" s="673"/>
      <c r="AA262" s="666">
        <f>SUM(W262:Z262)</f>
        <v>8000</v>
      </c>
      <c r="AB262" s="667"/>
      <c r="AC262" s="655"/>
      <c r="AD262" s="655"/>
      <c r="AE262" s="655"/>
      <c r="AF262" s="655"/>
      <c r="AG262" s="655"/>
      <c r="AH262" s="655"/>
      <c r="AI262" s="655"/>
      <c r="AJ262" s="655"/>
      <c r="AK262" s="655"/>
      <c r="AL262" s="674">
        <f>7330+670</f>
        <v>8000</v>
      </c>
      <c r="AM262" s="670">
        <f t="shared" si="82"/>
        <v>0</v>
      </c>
      <c r="AN262" s="677" t="s">
        <v>218</v>
      </c>
    </row>
    <row r="263" spans="1:40" s="440" customFormat="1" ht="21.75" thickBot="1" x14ac:dyDescent="0.4">
      <c r="A263" s="850" t="s">
        <v>80</v>
      </c>
      <c r="B263" s="846">
        <v>855</v>
      </c>
      <c r="C263" s="847" t="s">
        <v>178</v>
      </c>
      <c r="D263" s="849" t="s">
        <v>182</v>
      </c>
      <c r="E263" s="664">
        <f>V263-AL263</f>
        <v>0</v>
      </c>
      <c r="F263" s="798"/>
      <c r="G263" s="665"/>
      <c r="H263" s="665"/>
      <c r="I263" s="665"/>
      <c r="J263" s="666"/>
      <c r="K263" s="667"/>
      <c r="L263" s="655"/>
      <c r="M263" s="655"/>
      <c r="N263" s="655"/>
      <c r="O263" s="655"/>
      <c r="P263" s="655"/>
      <c r="Q263" s="655"/>
      <c r="R263" s="655"/>
      <c r="S263" s="655"/>
      <c r="T263" s="655"/>
      <c r="U263" s="837"/>
      <c r="V263" s="665">
        <v>225000</v>
      </c>
      <c r="W263" s="665"/>
      <c r="X263" s="665"/>
      <c r="Y263" s="665"/>
      <c r="Z263" s="673"/>
      <c r="AA263" s="666"/>
      <c r="AB263" s="667"/>
      <c r="AC263" s="655"/>
      <c r="AD263" s="655"/>
      <c r="AE263" s="655"/>
      <c r="AF263" s="655"/>
      <c r="AG263" s="655"/>
      <c r="AH263" s="655"/>
      <c r="AI263" s="655"/>
      <c r="AJ263" s="655"/>
      <c r="AK263" s="687"/>
      <c r="AL263" s="669">
        <f>117500+107500</f>
        <v>225000</v>
      </c>
      <c r="AM263" s="791">
        <f t="shared" si="82"/>
        <v>0</v>
      </c>
      <c r="AN263" s="852" t="s">
        <v>392</v>
      </c>
    </row>
    <row r="264" spans="1:40" s="440" customFormat="1" ht="21.75" thickBot="1" x14ac:dyDescent="0.4">
      <c r="A264" s="660" t="s">
        <v>80</v>
      </c>
      <c r="B264" s="689">
        <v>860</v>
      </c>
      <c r="C264" s="690" t="s">
        <v>184</v>
      </c>
      <c r="D264" s="685" t="s">
        <v>183</v>
      </c>
      <c r="E264" s="665"/>
      <c r="F264" s="798">
        <f>W264-AL264</f>
        <v>0</v>
      </c>
      <c r="G264" s="665"/>
      <c r="H264" s="665"/>
      <c r="I264" s="665"/>
      <c r="J264" s="666">
        <f t="shared" si="83"/>
        <v>0</v>
      </c>
      <c r="K264" s="667"/>
      <c r="L264" s="654"/>
      <c r="M264" s="654"/>
      <c r="N264" s="654"/>
      <c r="O264" s="654"/>
      <c r="P264" s="654"/>
      <c r="Q264" s="654"/>
      <c r="R264" s="654"/>
      <c r="S264" s="654"/>
      <c r="T264" s="654"/>
      <c r="U264" s="837"/>
      <c r="V264" s="665"/>
      <c r="W264" s="665">
        <v>59880</v>
      </c>
      <c r="X264" s="665"/>
      <c r="Y264" s="665"/>
      <c r="Z264" s="673"/>
      <c r="AA264" s="666">
        <f>SUM(W264:Z264)</f>
        <v>59880</v>
      </c>
      <c r="AB264" s="667"/>
      <c r="AC264" s="654"/>
      <c r="AD264" s="654"/>
      <c r="AE264" s="654"/>
      <c r="AF264" s="654"/>
      <c r="AG264" s="654"/>
      <c r="AH264" s="654"/>
      <c r="AI264" s="654"/>
      <c r="AJ264" s="654"/>
      <c r="AK264" s="668"/>
      <c r="AL264" s="669">
        <v>59880</v>
      </c>
      <c r="AM264" s="670">
        <f t="shared" si="82"/>
        <v>0</v>
      </c>
      <c r="AN264" s="691" t="s">
        <v>223</v>
      </c>
    </row>
    <row r="265" spans="1:40" s="39" customFormat="1" ht="21.75" thickBot="1" x14ac:dyDescent="0.4">
      <c r="A265" s="660" t="s">
        <v>80</v>
      </c>
      <c r="B265" s="689">
        <v>860</v>
      </c>
      <c r="C265" s="690" t="s">
        <v>184</v>
      </c>
      <c r="D265" s="685" t="s">
        <v>183</v>
      </c>
      <c r="E265" s="665"/>
      <c r="F265" s="798"/>
      <c r="G265" s="665">
        <f>X265-AL265</f>
        <v>0</v>
      </c>
      <c r="H265" s="665"/>
      <c r="I265" s="665"/>
      <c r="J265" s="666">
        <f t="shared" si="83"/>
        <v>0</v>
      </c>
      <c r="K265" s="667"/>
      <c r="L265" s="654"/>
      <c r="M265" s="654"/>
      <c r="N265" s="654"/>
      <c r="O265" s="654"/>
      <c r="P265" s="654"/>
      <c r="Q265" s="654"/>
      <c r="R265" s="654"/>
      <c r="S265" s="654"/>
      <c r="T265" s="654"/>
      <c r="U265" s="837"/>
      <c r="V265" s="665"/>
      <c r="W265" s="665"/>
      <c r="X265" s="665">
        <v>60000</v>
      </c>
      <c r="Y265" s="665"/>
      <c r="Z265" s="673"/>
      <c r="AA265" s="666">
        <f>SUM(W265:Z265)</f>
        <v>60000</v>
      </c>
      <c r="AB265" s="667"/>
      <c r="AC265" s="654"/>
      <c r="AD265" s="654"/>
      <c r="AE265" s="654"/>
      <c r="AF265" s="654"/>
      <c r="AG265" s="654"/>
      <c r="AH265" s="654"/>
      <c r="AI265" s="654"/>
      <c r="AJ265" s="654"/>
      <c r="AK265" s="668"/>
      <c r="AL265" s="669">
        <v>60000</v>
      </c>
      <c r="AM265" s="670">
        <f t="shared" si="82"/>
        <v>0</v>
      </c>
      <c r="AN265" s="692" t="s">
        <v>224</v>
      </c>
    </row>
    <row r="266" spans="1:40" s="39" customFormat="1" ht="21.75" thickBot="1" x14ac:dyDescent="0.4">
      <c r="A266" s="377" t="s">
        <v>80</v>
      </c>
      <c r="B266" s="437">
        <v>3212</v>
      </c>
      <c r="C266" s="439" t="s">
        <v>188</v>
      </c>
      <c r="D266" s="441" t="s">
        <v>187</v>
      </c>
      <c r="E266" s="355"/>
      <c r="F266" s="803">
        <f>W266-AL266</f>
        <v>3000</v>
      </c>
      <c r="G266" s="355"/>
      <c r="H266" s="355"/>
      <c r="I266" s="355"/>
      <c r="J266" s="351">
        <f t="shared" si="83"/>
        <v>3000</v>
      </c>
      <c r="K266" s="367"/>
      <c r="L266" s="352"/>
      <c r="M266" s="352"/>
      <c r="N266" s="352"/>
      <c r="O266" s="352"/>
      <c r="P266" s="352"/>
      <c r="Q266" s="352"/>
      <c r="R266" s="352"/>
      <c r="S266" s="352"/>
      <c r="T266" s="352"/>
      <c r="U266" s="837"/>
      <c r="V266" s="356"/>
      <c r="W266" s="387">
        <v>3000</v>
      </c>
      <c r="X266" s="387"/>
      <c r="Y266" s="387"/>
      <c r="Z266" s="387"/>
      <c r="AA266" s="353">
        <f>SUM(W266:Z266)</f>
        <v>3000</v>
      </c>
      <c r="AB266" s="358"/>
      <c r="AC266" s="354"/>
      <c r="AD266" s="354"/>
      <c r="AE266" s="354"/>
      <c r="AF266" s="354"/>
      <c r="AG266" s="354"/>
      <c r="AH266" s="354"/>
      <c r="AI266" s="354"/>
      <c r="AJ266" s="354"/>
      <c r="AK266" s="470"/>
      <c r="AL266" s="436">
        <v>0</v>
      </c>
      <c r="AM266" s="390">
        <f t="shared" ref="AM266:AM272" si="84">(V266+W266+X266+Y266+Z266+AB266+AC266+AD266+AE266+AF266+AG266+AH266+AI266+AJ266+AK266)-AL266</f>
        <v>3000</v>
      </c>
      <c r="AN266" s="465" t="s">
        <v>202</v>
      </c>
    </row>
    <row r="267" spans="1:40" s="39" customFormat="1" ht="21.75" thickBot="1" x14ac:dyDescent="0.4">
      <c r="A267" s="850" t="s">
        <v>80</v>
      </c>
      <c r="B267" s="873">
        <v>3241</v>
      </c>
      <c r="C267" s="874" t="s">
        <v>193</v>
      </c>
      <c r="D267" s="863" t="s">
        <v>187</v>
      </c>
      <c r="E267" s="665"/>
      <c r="F267" s="798"/>
      <c r="G267" s="665"/>
      <c r="H267" s="665"/>
      <c r="I267" s="665"/>
      <c r="J267" s="666"/>
      <c r="K267" s="667">
        <f>AB267-AL267</f>
        <v>0</v>
      </c>
      <c r="L267" s="655"/>
      <c r="M267" s="655"/>
      <c r="N267" s="655"/>
      <c r="O267" s="655"/>
      <c r="P267" s="655"/>
      <c r="Q267" s="655"/>
      <c r="R267" s="655"/>
      <c r="S267" s="655"/>
      <c r="T267" s="655"/>
      <c r="U267" s="837"/>
      <c r="V267" s="665"/>
      <c r="W267" s="665"/>
      <c r="X267" s="665"/>
      <c r="Y267" s="665"/>
      <c r="Z267" s="686"/>
      <c r="AA267" s="666"/>
      <c r="AB267" s="667">
        <v>500000</v>
      </c>
      <c r="AC267" s="655"/>
      <c r="AD267" s="655"/>
      <c r="AE267" s="655"/>
      <c r="AF267" s="655"/>
      <c r="AG267" s="655"/>
      <c r="AH267" s="655"/>
      <c r="AI267" s="655"/>
      <c r="AJ267" s="655"/>
      <c r="AK267" s="687"/>
      <c r="AL267" s="669">
        <v>500000</v>
      </c>
      <c r="AM267" s="791">
        <f t="shared" si="84"/>
        <v>0</v>
      </c>
      <c r="AN267" s="852" t="s">
        <v>305</v>
      </c>
    </row>
    <row r="268" spans="1:40" s="39" customFormat="1" ht="21.75" thickBot="1" x14ac:dyDescent="0.4">
      <c r="A268" s="845" t="s">
        <v>80</v>
      </c>
      <c r="B268" s="689">
        <v>3241</v>
      </c>
      <c r="C268" s="690" t="s">
        <v>193</v>
      </c>
      <c r="D268" s="685" t="s">
        <v>187</v>
      </c>
      <c r="E268" s="665"/>
      <c r="F268" s="798">
        <f>W268-AL268</f>
        <v>0</v>
      </c>
      <c r="G268" s="665"/>
      <c r="H268" s="665"/>
      <c r="I268" s="665"/>
      <c r="J268" s="666">
        <f t="shared" ref="J268:J280" si="85">SUM(F268:I268)</f>
        <v>0</v>
      </c>
      <c r="K268" s="671"/>
      <c r="L268" s="654"/>
      <c r="M268" s="654"/>
      <c r="N268" s="654"/>
      <c r="O268" s="654"/>
      <c r="P268" s="654"/>
      <c r="Q268" s="654"/>
      <c r="R268" s="654"/>
      <c r="S268" s="654"/>
      <c r="T268" s="654"/>
      <c r="U268" s="837"/>
      <c r="V268" s="665"/>
      <c r="W268" s="665">
        <v>48000</v>
      </c>
      <c r="X268" s="665"/>
      <c r="Y268" s="665"/>
      <c r="Z268" s="673"/>
      <c r="AA268" s="666">
        <f t="shared" ref="AA268:AA324" si="86">SUM(W268:Z268)</f>
        <v>48000</v>
      </c>
      <c r="AB268" s="667"/>
      <c r="AC268" s="654"/>
      <c r="AD268" s="654"/>
      <c r="AE268" s="654"/>
      <c r="AF268" s="654"/>
      <c r="AG268" s="654"/>
      <c r="AH268" s="654"/>
      <c r="AI268" s="654"/>
      <c r="AJ268" s="654"/>
      <c r="AK268" s="668"/>
      <c r="AL268" s="669">
        <v>48000</v>
      </c>
      <c r="AM268" s="670">
        <f>(V268+W268+X268+Y268+Z268+AB268+AC268+AD268+AE268+AF268+AG268+AH268+AI268+AJ268+AK268)-AL268</f>
        <v>0</v>
      </c>
      <c r="AN268" s="852" t="s">
        <v>333</v>
      </c>
    </row>
    <row r="269" spans="1:40" s="39" customFormat="1" ht="21.75" thickBot="1" x14ac:dyDescent="0.4">
      <c r="A269" s="850" t="s">
        <v>80</v>
      </c>
      <c r="B269" s="873">
        <v>3241</v>
      </c>
      <c r="C269" s="874" t="s">
        <v>193</v>
      </c>
      <c r="D269" s="863" t="s">
        <v>187</v>
      </c>
      <c r="E269" s="665"/>
      <c r="F269" s="798"/>
      <c r="G269" s="665">
        <f>X269-AL269</f>
        <v>0</v>
      </c>
      <c r="H269" s="665"/>
      <c r="I269" s="665"/>
      <c r="J269" s="666">
        <f t="shared" si="85"/>
        <v>0</v>
      </c>
      <c r="K269" s="667"/>
      <c r="L269" s="655"/>
      <c r="M269" s="655"/>
      <c r="N269" s="655"/>
      <c r="O269" s="655"/>
      <c r="P269" s="655"/>
      <c r="Q269" s="655"/>
      <c r="R269" s="655"/>
      <c r="S269" s="655"/>
      <c r="T269" s="655"/>
      <c r="U269" s="837"/>
      <c r="V269" s="665"/>
      <c r="W269" s="665"/>
      <c r="X269" s="665">
        <v>36000</v>
      </c>
      <c r="Y269" s="665"/>
      <c r="Z269" s="673"/>
      <c r="AA269" s="666">
        <f t="shared" si="86"/>
        <v>36000</v>
      </c>
      <c r="AB269" s="667"/>
      <c r="AC269" s="655"/>
      <c r="AD269" s="655"/>
      <c r="AE269" s="655"/>
      <c r="AF269" s="655"/>
      <c r="AG269" s="655"/>
      <c r="AH269" s="655"/>
      <c r="AI269" s="655"/>
      <c r="AJ269" s="655"/>
      <c r="AK269" s="687"/>
      <c r="AL269" s="669">
        <f>17280+18720</f>
        <v>36000</v>
      </c>
      <c r="AM269" s="791">
        <f>(V269+W269+X269+Y269+Z269+AB269+AC269+AD269+AE269+AF269+AG269+AH269+AI269+AJ269+AK269)-AL269</f>
        <v>0</v>
      </c>
      <c r="AN269" s="852" t="s">
        <v>354</v>
      </c>
    </row>
    <row r="270" spans="1:40" s="39" customFormat="1" ht="21.75" thickBot="1" x14ac:dyDescent="0.4">
      <c r="A270" s="850" t="s">
        <v>80</v>
      </c>
      <c r="B270" s="873">
        <v>3241</v>
      </c>
      <c r="C270" s="874" t="s">
        <v>193</v>
      </c>
      <c r="D270" s="863" t="s">
        <v>187</v>
      </c>
      <c r="E270" s="665"/>
      <c r="F270" s="798"/>
      <c r="G270" s="665"/>
      <c r="H270" s="665">
        <f>Y270-AL270</f>
        <v>0</v>
      </c>
      <c r="I270" s="665"/>
      <c r="J270" s="666">
        <f t="shared" si="85"/>
        <v>0</v>
      </c>
      <c r="K270" s="667"/>
      <c r="L270" s="655"/>
      <c r="M270" s="655"/>
      <c r="N270" s="655"/>
      <c r="O270" s="655"/>
      <c r="P270" s="655"/>
      <c r="Q270" s="655"/>
      <c r="R270" s="655"/>
      <c r="S270" s="655"/>
      <c r="T270" s="655"/>
      <c r="U270" s="837"/>
      <c r="V270" s="665"/>
      <c r="W270" s="686"/>
      <c r="X270" s="686"/>
      <c r="Y270" s="686">
        <v>36000</v>
      </c>
      <c r="Z270" s="686"/>
      <c r="AA270" s="666">
        <f t="shared" si="86"/>
        <v>36000</v>
      </c>
      <c r="AB270" s="667"/>
      <c r="AC270" s="655"/>
      <c r="AD270" s="655"/>
      <c r="AE270" s="655"/>
      <c r="AF270" s="655"/>
      <c r="AG270" s="655"/>
      <c r="AH270" s="655"/>
      <c r="AI270" s="655"/>
      <c r="AJ270" s="655"/>
      <c r="AK270" s="687"/>
      <c r="AL270" s="669">
        <f>33840+2160</f>
        <v>36000</v>
      </c>
      <c r="AM270" s="791">
        <f>(V270+W270+X270+Y270+Z270+AB270+AC270+AD270+AE270+AF270+AG270+AH270+AI270+AJ270+AK270)-AL270</f>
        <v>0</v>
      </c>
      <c r="AN270" s="852" t="s">
        <v>355</v>
      </c>
    </row>
    <row r="271" spans="1:40" s="39" customFormat="1" ht="21.75" thickBot="1" x14ac:dyDescent="0.4">
      <c r="A271" s="850" t="s">
        <v>80</v>
      </c>
      <c r="B271" s="873">
        <v>3241</v>
      </c>
      <c r="C271" s="874" t="s">
        <v>193</v>
      </c>
      <c r="D271" s="863" t="s">
        <v>187</v>
      </c>
      <c r="E271" s="665"/>
      <c r="F271" s="798"/>
      <c r="G271" s="665"/>
      <c r="H271" s="665"/>
      <c r="I271" s="665">
        <f>Z271-AL271</f>
        <v>0</v>
      </c>
      <c r="J271" s="666">
        <f t="shared" si="85"/>
        <v>0</v>
      </c>
      <c r="K271" s="667"/>
      <c r="L271" s="655"/>
      <c r="M271" s="655"/>
      <c r="N271" s="655"/>
      <c r="O271" s="655"/>
      <c r="P271" s="655"/>
      <c r="Q271" s="655"/>
      <c r="R271" s="655"/>
      <c r="S271" s="655"/>
      <c r="T271" s="655"/>
      <c r="U271" s="837"/>
      <c r="V271" s="665"/>
      <c r="W271" s="686"/>
      <c r="X271" s="686"/>
      <c r="Y271" s="686"/>
      <c r="Z271" s="686">
        <v>22500</v>
      </c>
      <c r="AA271" s="666">
        <f t="shared" si="86"/>
        <v>22500</v>
      </c>
      <c r="AB271" s="667"/>
      <c r="AC271" s="655"/>
      <c r="AD271" s="655"/>
      <c r="AE271" s="655"/>
      <c r="AF271" s="655"/>
      <c r="AG271" s="655"/>
      <c r="AH271" s="655"/>
      <c r="AI271" s="655"/>
      <c r="AJ271" s="655"/>
      <c r="AK271" s="687"/>
      <c r="AL271" s="669">
        <f>18720+3780</f>
        <v>22500</v>
      </c>
      <c r="AM271" s="791">
        <f t="shared" si="84"/>
        <v>0</v>
      </c>
      <c r="AN271" s="852" t="s">
        <v>356</v>
      </c>
    </row>
    <row r="272" spans="1:40" s="39" customFormat="1" ht="21.75" thickBot="1" x14ac:dyDescent="0.4">
      <c r="A272" s="713" t="s">
        <v>80</v>
      </c>
      <c r="B272" s="714">
        <v>3242</v>
      </c>
      <c r="C272" s="715" t="s">
        <v>193</v>
      </c>
      <c r="D272" s="716" t="s">
        <v>187</v>
      </c>
      <c r="E272" s="347"/>
      <c r="F272" s="804">
        <f t="shared" ref="F272:F279" si="87">W272-AK272</f>
        <v>0</v>
      </c>
      <c r="G272" s="347"/>
      <c r="H272" s="347"/>
      <c r="I272" s="347"/>
      <c r="J272" s="719">
        <f>AA272-AO499</f>
        <v>0</v>
      </c>
      <c r="K272" s="725"/>
      <c r="L272" s="405"/>
      <c r="M272" s="717">
        <f>AD272-AL272</f>
        <v>0</v>
      </c>
      <c r="N272" s="405"/>
      <c r="O272" s="717"/>
      <c r="P272" s="405"/>
      <c r="Q272" s="405"/>
      <c r="R272" s="405"/>
      <c r="S272" s="405"/>
      <c r="T272" s="405"/>
      <c r="U272" s="837"/>
      <c r="V272" s="347"/>
      <c r="W272" s="347"/>
      <c r="X272" s="347"/>
      <c r="Y272" s="347"/>
      <c r="Z272" s="718"/>
      <c r="AA272" s="666">
        <f t="shared" si="86"/>
        <v>0</v>
      </c>
      <c r="AB272" s="348"/>
      <c r="AC272" s="405"/>
      <c r="AD272" s="405">
        <v>10000</v>
      </c>
      <c r="AE272" s="405"/>
      <c r="AF272" s="405"/>
      <c r="AG272" s="405"/>
      <c r="AH272" s="405"/>
      <c r="AI272" s="405"/>
      <c r="AJ272" s="405"/>
      <c r="AK272" s="720"/>
      <c r="AL272" s="721">
        <f>3885+6115</f>
        <v>10000</v>
      </c>
      <c r="AM272" s="722">
        <f t="shared" si="84"/>
        <v>0</v>
      </c>
      <c r="AN272" s="357" t="s">
        <v>250</v>
      </c>
    </row>
    <row r="273" spans="1:40" s="39" customFormat="1" ht="21.75" thickBot="1" x14ac:dyDescent="0.4">
      <c r="A273" s="359" t="s">
        <v>80</v>
      </c>
      <c r="B273" s="360">
        <v>3187</v>
      </c>
      <c r="C273" s="425" t="s">
        <v>191</v>
      </c>
      <c r="D273" s="656" t="s">
        <v>194</v>
      </c>
      <c r="E273" s="361">
        <f>V273-AL273</f>
        <v>0</v>
      </c>
      <c r="F273" s="800">
        <f t="shared" si="87"/>
        <v>0</v>
      </c>
      <c r="G273" s="362"/>
      <c r="H273" s="362"/>
      <c r="I273" s="362"/>
      <c r="J273" s="363">
        <f t="shared" si="85"/>
        <v>0</v>
      </c>
      <c r="K273" s="789"/>
      <c r="L273" s="365"/>
      <c r="M273" s="365"/>
      <c r="N273" s="365"/>
      <c r="O273" s="365"/>
      <c r="P273" s="365"/>
      <c r="Q273" s="365"/>
      <c r="R273" s="365"/>
      <c r="S273" s="365"/>
      <c r="T273" s="365"/>
      <c r="U273" s="837"/>
      <c r="V273" s="362">
        <v>280000</v>
      </c>
      <c r="W273" s="362"/>
      <c r="X273" s="362"/>
      <c r="Y273" s="362"/>
      <c r="Z273" s="362"/>
      <c r="AA273" s="666">
        <f t="shared" si="86"/>
        <v>0</v>
      </c>
      <c r="AB273" s="364"/>
      <c r="AC273" s="365"/>
      <c r="AD273" s="365"/>
      <c r="AE273" s="365"/>
      <c r="AF273" s="365"/>
      <c r="AG273" s="365"/>
      <c r="AH273" s="365"/>
      <c r="AI273" s="365"/>
      <c r="AJ273" s="365"/>
      <c r="AK273" s="365"/>
      <c r="AL273" s="366">
        <v>280000</v>
      </c>
      <c r="AM273" s="659">
        <f>(V273+W273+X273+Y273+Z273+AB273+AC273+AD273+AE273+AF273+AG273+AH273+AI273+AJ273+AK273)-AL273</f>
        <v>0</v>
      </c>
      <c r="AN273" s="368" t="s">
        <v>222</v>
      </c>
    </row>
    <row r="274" spans="1:40" s="39" customFormat="1" ht="21.75" thickBot="1" x14ac:dyDescent="0.4">
      <c r="A274" s="713" t="s">
        <v>80</v>
      </c>
      <c r="B274" s="723">
        <v>3250</v>
      </c>
      <c r="C274" s="724" t="s">
        <v>205</v>
      </c>
      <c r="D274" s="526" t="s">
        <v>206</v>
      </c>
      <c r="E274" s="346">
        <v>0</v>
      </c>
      <c r="F274" s="804">
        <f t="shared" si="87"/>
        <v>0</v>
      </c>
      <c r="G274" s="347"/>
      <c r="H274" s="347"/>
      <c r="I274" s="347"/>
      <c r="J274" s="719">
        <f t="shared" si="85"/>
        <v>0</v>
      </c>
      <c r="K274" s="725">
        <f t="shared" ref="K274:K281" si="88">AB274-AL274</f>
        <v>0</v>
      </c>
      <c r="L274" s="717"/>
      <c r="M274" s="717"/>
      <c r="N274" s="717"/>
      <c r="O274" s="717"/>
      <c r="P274" s="717"/>
      <c r="Q274" s="717"/>
      <c r="R274" s="717"/>
      <c r="S274" s="717"/>
      <c r="T274" s="717"/>
      <c r="U274" s="837"/>
      <c r="V274" s="347"/>
      <c r="W274" s="347"/>
      <c r="X274" s="347"/>
      <c r="Y274" s="347"/>
      <c r="Z274" s="347"/>
      <c r="AA274" s="719">
        <f t="shared" si="86"/>
        <v>0</v>
      </c>
      <c r="AB274" s="731">
        <v>70000</v>
      </c>
      <c r="AC274" s="717"/>
      <c r="AD274" s="717"/>
      <c r="AE274" s="717"/>
      <c r="AF274" s="717"/>
      <c r="AG274" s="717"/>
      <c r="AH274" s="717"/>
      <c r="AI274" s="717"/>
      <c r="AJ274" s="717"/>
      <c r="AK274" s="726"/>
      <c r="AL274" s="721">
        <v>70000</v>
      </c>
      <c r="AM274" s="626">
        <f t="shared" ref="AM274:AM279" si="89">(V274+W274+X274+Y274+Z274+AB274+AC274+AD274+AE274+AF274+AG274+AH274+AI274+AJ274+AK274)-AL274</f>
        <v>0</v>
      </c>
      <c r="AN274" s="727" t="s">
        <v>254</v>
      </c>
    </row>
    <row r="275" spans="1:40" s="39" customFormat="1" ht="21.75" thickBot="1" x14ac:dyDescent="0.4">
      <c r="A275" s="713" t="s">
        <v>80</v>
      </c>
      <c r="B275" s="723">
        <v>3253</v>
      </c>
      <c r="C275" s="724" t="s">
        <v>205</v>
      </c>
      <c r="D275" s="526" t="s">
        <v>203</v>
      </c>
      <c r="E275" s="346"/>
      <c r="F275" s="804">
        <f t="shared" si="87"/>
        <v>0</v>
      </c>
      <c r="G275" s="347"/>
      <c r="H275" s="347"/>
      <c r="I275" s="347"/>
      <c r="J275" s="719">
        <f t="shared" si="85"/>
        <v>0</v>
      </c>
      <c r="K275" s="725">
        <f t="shared" si="88"/>
        <v>0</v>
      </c>
      <c r="L275" s="717"/>
      <c r="M275" s="717"/>
      <c r="N275" s="717"/>
      <c r="O275" s="717"/>
      <c r="P275" s="717"/>
      <c r="Q275" s="717"/>
      <c r="R275" s="717"/>
      <c r="S275" s="717"/>
      <c r="T275" s="717"/>
      <c r="U275" s="837"/>
      <c r="V275" s="347"/>
      <c r="W275" s="347"/>
      <c r="X275" s="347"/>
      <c r="Y275" s="347"/>
      <c r="Z275" s="347"/>
      <c r="AA275" s="719">
        <f t="shared" si="86"/>
        <v>0</v>
      </c>
      <c r="AB275" s="731">
        <v>150000</v>
      </c>
      <c r="AC275" s="717"/>
      <c r="AD275" s="717"/>
      <c r="AE275" s="717"/>
      <c r="AF275" s="717"/>
      <c r="AG275" s="717"/>
      <c r="AH275" s="717"/>
      <c r="AI275" s="717"/>
      <c r="AJ275" s="717"/>
      <c r="AK275" s="726"/>
      <c r="AL275" s="721">
        <v>150000</v>
      </c>
      <c r="AM275" s="722">
        <f t="shared" si="89"/>
        <v>0</v>
      </c>
      <c r="AN275" s="727" t="s">
        <v>255</v>
      </c>
    </row>
    <row r="276" spans="1:40" s="39" customFormat="1" ht="21.75" thickBot="1" x14ac:dyDescent="0.4">
      <c r="A276" s="404" t="s">
        <v>80</v>
      </c>
      <c r="B276" s="723">
        <v>3253</v>
      </c>
      <c r="C276" s="724" t="s">
        <v>205</v>
      </c>
      <c r="D276" s="526" t="s">
        <v>203</v>
      </c>
      <c r="E276" s="728"/>
      <c r="F276" s="806">
        <f t="shared" si="87"/>
        <v>0</v>
      </c>
      <c r="G276" s="719"/>
      <c r="H276" s="719"/>
      <c r="I276" s="719"/>
      <c r="J276" s="719">
        <f t="shared" si="85"/>
        <v>0</v>
      </c>
      <c r="K276" s="725">
        <v>0</v>
      </c>
      <c r="L276" s="729"/>
      <c r="M276" s="729"/>
      <c r="N276" s="729"/>
      <c r="O276" s="729"/>
      <c r="P276" s="729"/>
      <c r="Q276" s="729">
        <f>AH276-AL276</f>
        <v>0</v>
      </c>
      <c r="R276" s="729"/>
      <c r="S276" s="729"/>
      <c r="T276" s="729"/>
      <c r="U276" s="837"/>
      <c r="V276" s="719"/>
      <c r="W276" s="719"/>
      <c r="X276" s="719"/>
      <c r="Y276" s="719"/>
      <c r="Z276" s="719"/>
      <c r="AA276" s="719">
        <f t="shared" si="86"/>
        <v>0</v>
      </c>
      <c r="AB276" s="730"/>
      <c r="AC276" s="729"/>
      <c r="AD276" s="729"/>
      <c r="AE276" s="729"/>
      <c r="AF276" s="729"/>
      <c r="AG276" s="729"/>
      <c r="AH276" s="405">
        <v>150000</v>
      </c>
      <c r="AI276" s="405"/>
      <c r="AJ276" s="405"/>
      <c r="AK276" s="720"/>
      <c r="AL276" s="721">
        <f>71900+78100</f>
        <v>150000</v>
      </c>
      <c r="AM276" s="626">
        <f t="shared" si="89"/>
        <v>0</v>
      </c>
      <c r="AN276" s="727" t="s">
        <v>253</v>
      </c>
    </row>
    <row r="277" spans="1:40" s="39" customFormat="1" ht="21.75" thickBot="1" x14ac:dyDescent="0.4">
      <c r="A277" s="359" t="s">
        <v>80</v>
      </c>
      <c r="B277" s="360">
        <v>3254</v>
      </c>
      <c r="C277" s="425" t="s">
        <v>204</v>
      </c>
      <c r="D277" s="656" t="s">
        <v>203</v>
      </c>
      <c r="E277" s="361">
        <f>V277-AL277</f>
        <v>0</v>
      </c>
      <c r="F277" s="800">
        <f t="shared" si="87"/>
        <v>0</v>
      </c>
      <c r="G277" s="362"/>
      <c r="H277" s="362"/>
      <c r="I277" s="362"/>
      <c r="J277" s="363">
        <f t="shared" si="85"/>
        <v>0</v>
      </c>
      <c r="K277" s="789"/>
      <c r="L277" s="365"/>
      <c r="M277" s="365"/>
      <c r="N277" s="365"/>
      <c r="O277" s="365"/>
      <c r="P277" s="365"/>
      <c r="Q277" s="365"/>
      <c r="R277" s="365"/>
      <c r="S277" s="365"/>
      <c r="T277" s="365"/>
      <c r="U277" s="837"/>
      <c r="V277" s="362">
        <v>250000</v>
      </c>
      <c r="W277" s="362"/>
      <c r="X277" s="362"/>
      <c r="Y277" s="362"/>
      <c r="Z277" s="362"/>
      <c r="AA277" s="363">
        <f t="shared" si="86"/>
        <v>0</v>
      </c>
      <c r="AB277" s="364"/>
      <c r="AC277" s="365"/>
      <c r="AD277" s="365"/>
      <c r="AE277" s="365"/>
      <c r="AF277" s="365"/>
      <c r="AG277" s="365"/>
      <c r="AH277" s="365"/>
      <c r="AI277" s="365"/>
      <c r="AJ277" s="365"/>
      <c r="AK277" s="657"/>
      <c r="AL277" s="658">
        <v>250000</v>
      </c>
      <c r="AM277" s="659">
        <f t="shared" si="89"/>
        <v>0</v>
      </c>
      <c r="AN277" s="696" t="s">
        <v>231</v>
      </c>
    </row>
    <row r="278" spans="1:40" s="39" customFormat="1" ht="21.75" thickBot="1" x14ac:dyDescent="0.4">
      <c r="A278" s="839" t="s">
        <v>80</v>
      </c>
      <c r="B278" s="858">
        <v>3255</v>
      </c>
      <c r="C278" s="859" t="s">
        <v>204</v>
      </c>
      <c r="D278" s="844" t="s">
        <v>203</v>
      </c>
      <c r="E278" s="346"/>
      <c r="F278" s="804">
        <f t="shared" si="87"/>
        <v>0</v>
      </c>
      <c r="G278" s="347"/>
      <c r="H278" s="347"/>
      <c r="I278" s="347"/>
      <c r="J278" s="719">
        <f t="shared" si="85"/>
        <v>0</v>
      </c>
      <c r="K278" s="348">
        <f t="shared" si="88"/>
        <v>0</v>
      </c>
      <c r="L278" s="405"/>
      <c r="M278" s="405"/>
      <c r="N278" s="405"/>
      <c r="O278" s="405"/>
      <c r="P278" s="405"/>
      <c r="Q278" s="405"/>
      <c r="R278" s="405"/>
      <c r="S278" s="405"/>
      <c r="T278" s="405"/>
      <c r="U278" s="837"/>
      <c r="V278" s="347"/>
      <c r="W278" s="347"/>
      <c r="X278" s="347"/>
      <c r="Y278" s="347"/>
      <c r="Z278" s="347"/>
      <c r="AA278" s="719">
        <f t="shared" si="86"/>
        <v>0</v>
      </c>
      <c r="AB278" s="348">
        <v>435800</v>
      </c>
      <c r="AC278" s="405"/>
      <c r="AD278" s="405"/>
      <c r="AE278" s="405"/>
      <c r="AF278" s="405"/>
      <c r="AG278" s="405"/>
      <c r="AH278" s="405"/>
      <c r="AI278" s="405"/>
      <c r="AJ278" s="405"/>
      <c r="AK278" s="720"/>
      <c r="AL278" s="721">
        <v>435800</v>
      </c>
      <c r="AM278" s="875">
        <f t="shared" si="89"/>
        <v>0</v>
      </c>
      <c r="AN278" s="860" t="s">
        <v>306</v>
      </c>
    </row>
    <row r="279" spans="1:40" s="39" customFormat="1" ht="21.75" thickBot="1" x14ac:dyDescent="0.4">
      <c r="A279" s="839" t="s">
        <v>80</v>
      </c>
      <c r="B279" s="858">
        <v>3256</v>
      </c>
      <c r="C279" s="859" t="s">
        <v>208</v>
      </c>
      <c r="D279" s="876" t="s">
        <v>207</v>
      </c>
      <c r="E279" s="347"/>
      <c r="F279" s="804">
        <f t="shared" si="87"/>
        <v>0</v>
      </c>
      <c r="G279" s="347"/>
      <c r="H279" s="347">
        <v>0</v>
      </c>
      <c r="I279" s="347">
        <v>0</v>
      </c>
      <c r="J279" s="719">
        <f t="shared" si="85"/>
        <v>0</v>
      </c>
      <c r="K279" s="348">
        <v>0</v>
      </c>
      <c r="L279" s="405">
        <f>AC279-AL279</f>
        <v>0</v>
      </c>
      <c r="M279" s="405"/>
      <c r="N279" s="405"/>
      <c r="O279" s="405"/>
      <c r="P279" s="405"/>
      <c r="Q279" s="405"/>
      <c r="R279" s="405"/>
      <c r="S279" s="405"/>
      <c r="T279" s="405"/>
      <c r="U279" s="837"/>
      <c r="V279" s="347"/>
      <c r="W279" s="347"/>
      <c r="X279" s="347"/>
      <c r="Y279" s="347"/>
      <c r="Z279" s="347"/>
      <c r="AA279" s="719">
        <f t="shared" si="86"/>
        <v>0</v>
      </c>
      <c r="AB279" s="348"/>
      <c r="AC279" s="405">
        <v>450000</v>
      </c>
      <c r="AD279" s="405"/>
      <c r="AE279" s="405"/>
      <c r="AF279" s="405"/>
      <c r="AG279" s="405"/>
      <c r="AH279" s="405"/>
      <c r="AI279" s="405"/>
      <c r="AJ279" s="405"/>
      <c r="AK279" s="720"/>
      <c r="AL279" s="721">
        <v>450000</v>
      </c>
      <c r="AM279" s="875">
        <f t="shared" si="89"/>
        <v>0</v>
      </c>
      <c r="AN279" s="860" t="s">
        <v>307</v>
      </c>
    </row>
    <row r="280" spans="1:40" s="39" customFormat="1" ht="21.75" thickBot="1" x14ac:dyDescent="0.4">
      <c r="A280" s="839" t="s">
        <v>80</v>
      </c>
      <c r="B280" s="858">
        <v>3268</v>
      </c>
      <c r="C280" s="859" t="s">
        <v>210</v>
      </c>
      <c r="D280" s="840" t="s">
        <v>207</v>
      </c>
      <c r="E280" s="347">
        <f>V280-AL280</f>
        <v>0</v>
      </c>
      <c r="F280" s="804">
        <f>W280-AK280</f>
        <v>0</v>
      </c>
      <c r="G280" s="347"/>
      <c r="H280" s="347"/>
      <c r="I280" s="347"/>
      <c r="J280" s="719">
        <f t="shared" si="85"/>
        <v>0</v>
      </c>
      <c r="K280" s="348"/>
      <c r="L280" s="405"/>
      <c r="M280" s="405"/>
      <c r="N280" s="405"/>
      <c r="O280" s="405"/>
      <c r="P280" s="405"/>
      <c r="Q280" s="405"/>
      <c r="R280" s="405"/>
      <c r="S280" s="405"/>
      <c r="T280" s="405"/>
      <c r="U280" s="837"/>
      <c r="V280" s="347">
        <v>200000</v>
      </c>
      <c r="W280" s="347"/>
      <c r="X280" s="347"/>
      <c r="Y280" s="347"/>
      <c r="Z280" s="347"/>
      <c r="AA280" s="719">
        <f t="shared" si="86"/>
        <v>0</v>
      </c>
      <c r="AB280" s="348"/>
      <c r="AC280" s="405"/>
      <c r="AD280" s="405"/>
      <c r="AE280" s="405"/>
      <c r="AF280" s="405"/>
      <c r="AG280" s="405"/>
      <c r="AH280" s="405"/>
      <c r="AI280" s="405"/>
      <c r="AJ280" s="405"/>
      <c r="AK280" s="720"/>
      <c r="AL280" s="721">
        <f>63225+136775</f>
        <v>200000</v>
      </c>
      <c r="AM280" s="875">
        <f>(V280+W280+X280+Y280+Z280+AB280+AC280+AD280+AE280+AF280+AG280+AH280+AI280+AJ280+AK280)-AL280</f>
        <v>0</v>
      </c>
      <c r="AN280" s="860" t="s">
        <v>309</v>
      </c>
    </row>
    <row r="281" spans="1:40" s="39" customFormat="1" ht="21.75" thickBot="1" x14ac:dyDescent="0.4">
      <c r="A281" s="850" t="s">
        <v>80</v>
      </c>
      <c r="B281" s="846">
        <v>3271</v>
      </c>
      <c r="C281" s="847">
        <v>45279</v>
      </c>
      <c r="D281" s="849">
        <v>45381</v>
      </c>
      <c r="E281" s="665">
        <v>0</v>
      </c>
      <c r="F281" s="798">
        <v>0</v>
      </c>
      <c r="G281" s="665"/>
      <c r="H281" s="665">
        <v>0</v>
      </c>
      <c r="I281" s="665">
        <v>0</v>
      </c>
      <c r="J281" s="666">
        <v>0</v>
      </c>
      <c r="K281" s="667">
        <f t="shared" si="88"/>
        <v>0</v>
      </c>
      <c r="L281" s="655"/>
      <c r="M281" s="655"/>
      <c r="N281" s="655"/>
      <c r="O281" s="655"/>
      <c r="P281" s="655"/>
      <c r="Q281" s="655"/>
      <c r="R281" s="655"/>
      <c r="S281" s="655"/>
      <c r="T281" s="655"/>
      <c r="U281" s="837"/>
      <c r="V281" s="665"/>
      <c r="W281" s="665"/>
      <c r="X281" s="665"/>
      <c r="Y281" s="665"/>
      <c r="Z281" s="665"/>
      <c r="AA281" s="666">
        <f t="shared" si="86"/>
        <v>0</v>
      </c>
      <c r="AB281" s="667">
        <v>1500000</v>
      </c>
      <c r="AC281" s="655"/>
      <c r="AD281" s="655"/>
      <c r="AE281" s="655"/>
      <c r="AF281" s="655"/>
      <c r="AG281" s="655"/>
      <c r="AH281" s="655"/>
      <c r="AI281" s="655"/>
      <c r="AJ281" s="655"/>
      <c r="AK281" s="687"/>
      <c r="AL281" s="669">
        <v>1500000</v>
      </c>
      <c r="AM281" s="791">
        <f>(V281+W281+X281+Y281+Z281+AB281+AC281+AD281+AE281+AF281+AG281+AH281+AI281+AJ281+AK281)-AL281</f>
        <v>0</v>
      </c>
      <c r="AN281" s="825" t="s">
        <v>358</v>
      </c>
    </row>
    <row r="282" spans="1:40" s="39" customFormat="1" ht="21.75" thickBot="1" x14ac:dyDescent="0.4">
      <c r="A282" s="713" t="s">
        <v>80</v>
      </c>
      <c r="B282" s="723">
        <v>3272</v>
      </c>
      <c r="C282" s="724">
        <v>45309</v>
      </c>
      <c r="D282" s="422">
        <v>45342</v>
      </c>
      <c r="E282" s="347"/>
      <c r="F282" s="804">
        <v>0</v>
      </c>
      <c r="G282" s="347">
        <v>0</v>
      </c>
      <c r="H282" s="347">
        <v>0</v>
      </c>
      <c r="I282" s="347">
        <v>0</v>
      </c>
      <c r="J282" s="719">
        <v>0</v>
      </c>
      <c r="K282" s="725">
        <v>0</v>
      </c>
      <c r="L282" s="717"/>
      <c r="M282" s="717">
        <v>0</v>
      </c>
      <c r="N282" s="405">
        <f>AE282-AL282</f>
        <v>0</v>
      </c>
      <c r="O282" s="717"/>
      <c r="P282" s="717"/>
      <c r="Q282" s="717"/>
      <c r="R282" s="717"/>
      <c r="S282" s="717"/>
      <c r="T282" s="717"/>
      <c r="U282" s="837"/>
      <c r="V282" s="347"/>
      <c r="W282" s="347"/>
      <c r="X282" s="347"/>
      <c r="Y282" s="347"/>
      <c r="Z282" s="347"/>
      <c r="AA282" s="719">
        <f t="shared" si="86"/>
        <v>0</v>
      </c>
      <c r="AB282" s="348"/>
      <c r="AC282" s="717"/>
      <c r="AD282" s="717"/>
      <c r="AE282" s="717">
        <v>75468</v>
      </c>
      <c r="AF282" s="717"/>
      <c r="AG282" s="717"/>
      <c r="AH282" s="717"/>
      <c r="AI282" s="717"/>
      <c r="AJ282" s="717"/>
      <c r="AK282" s="726"/>
      <c r="AL282" s="721">
        <f>7200+68268</f>
        <v>75468</v>
      </c>
      <c r="AM282" s="722">
        <f>(V282+W282+X282+Y282+Z282+AB282+AC282+AD282+AE282+AF282+AG282+AH282+AI282+AJ282+AK282)-AL282</f>
        <v>0</v>
      </c>
      <c r="AN282" s="727" t="s">
        <v>252</v>
      </c>
    </row>
    <row r="283" spans="1:40" s="39" customFormat="1" ht="21.75" thickBot="1" x14ac:dyDescent="0.4">
      <c r="A283" s="713" t="s">
        <v>80</v>
      </c>
      <c r="B283" s="723">
        <v>3273</v>
      </c>
      <c r="C283" s="724">
        <v>45309</v>
      </c>
      <c r="D283" s="422">
        <v>45342</v>
      </c>
      <c r="E283" s="347"/>
      <c r="F283" s="804"/>
      <c r="G283" s="347"/>
      <c r="H283" s="347"/>
      <c r="I283" s="347"/>
      <c r="J283" s="719"/>
      <c r="K283" s="725"/>
      <c r="L283" s="717"/>
      <c r="M283" s="717">
        <f>AD283-AL283</f>
        <v>0</v>
      </c>
      <c r="N283" s="717"/>
      <c r="O283" s="717"/>
      <c r="P283" s="717"/>
      <c r="Q283" s="717"/>
      <c r="R283" s="717"/>
      <c r="S283" s="717"/>
      <c r="T283" s="717"/>
      <c r="U283" s="837"/>
      <c r="V283" s="347"/>
      <c r="W283" s="347"/>
      <c r="X283" s="347"/>
      <c r="Y283" s="347"/>
      <c r="Z283" s="347"/>
      <c r="AA283" s="719">
        <f t="shared" si="86"/>
        <v>0</v>
      </c>
      <c r="AB283" s="348"/>
      <c r="AC283" s="717"/>
      <c r="AD283" s="717">
        <v>80000</v>
      </c>
      <c r="AE283" s="717"/>
      <c r="AF283" s="717"/>
      <c r="AG283" s="717"/>
      <c r="AH283" s="717"/>
      <c r="AI283" s="717"/>
      <c r="AJ283" s="717"/>
      <c r="AK283" s="726"/>
      <c r="AL283" s="721">
        <f>9000+71000</f>
        <v>80000</v>
      </c>
      <c r="AM283" s="722">
        <f>(V283+W283+X283+Y283+Z283+AB283+AC283+AD283+AE283+AF283+AG283+AH283+AI283+AJ283+AK283)-AL283</f>
        <v>0</v>
      </c>
      <c r="AN283" s="727" t="s">
        <v>251</v>
      </c>
    </row>
    <row r="284" spans="1:40" s="39" customFormat="1" ht="21.75" thickBot="1" x14ac:dyDescent="0.4">
      <c r="A284" s="934" t="s">
        <v>80</v>
      </c>
      <c r="B284" s="360">
        <v>3288</v>
      </c>
      <c r="C284" s="425">
        <v>45323</v>
      </c>
      <c r="D284" s="426">
        <v>45412</v>
      </c>
      <c r="E284" s="362">
        <v>0</v>
      </c>
      <c r="F284" s="800">
        <v>0</v>
      </c>
      <c r="G284" s="362"/>
      <c r="H284" s="362">
        <v>0</v>
      </c>
      <c r="I284" s="362">
        <v>0</v>
      </c>
      <c r="J284" s="363">
        <f t="shared" ref="J284:J311" si="90">SUM(F284:I284)</f>
        <v>0</v>
      </c>
      <c r="K284" s="364">
        <f>AB284-AL284</f>
        <v>0</v>
      </c>
      <c r="L284" s="935"/>
      <c r="M284" s="935"/>
      <c r="N284" s="935"/>
      <c r="O284" s="935"/>
      <c r="P284" s="935"/>
      <c r="Q284" s="935"/>
      <c r="R284" s="935"/>
      <c r="S284" s="935"/>
      <c r="T284" s="935"/>
      <c r="U284" s="837"/>
      <c r="V284" s="362"/>
      <c r="W284" s="362"/>
      <c r="X284" s="362"/>
      <c r="Y284" s="362"/>
      <c r="Z284" s="362"/>
      <c r="AA284" s="363">
        <f t="shared" si="86"/>
        <v>0</v>
      </c>
      <c r="AB284" s="364">
        <v>1000000</v>
      </c>
      <c r="AC284" s="935"/>
      <c r="AD284" s="935"/>
      <c r="AE284" s="935"/>
      <c r="AF284" s="935"/>
      <c r="AG284" s="935"/>
      <c r="AH284" s="935"/>
      <c r="AI284" s="935"/>
      <c r="AJ284" s="935"/>
      <c r="AK284" s="936"/>
      <c r="AL284" s="658">
        <v>1000000</v>
      </c>
      <c r="AM284" s="933">
        <f t="shared" ref="AM284:AM304" si="91">(V284+W284+X284+Y284+Z284+AB284+AC284+AD284+AE284+AF284+AG284+AH284+AI284+AJ284+AK284)-AL284</f>
        <v>0</v>
      </c>
      <c r="AN284" s="696" t="s">
        <v>332</v>
      </c>
    </row>
    <row r="285" spans="1:40" s="39" customFormat="1" ht="21.75" thickBot="1" x14ac:dyDescent="0.4">
      <c r="A285" s="850" t="s">
        <v>80</v>
      </c>
      <c r="B285" s="970">
        <v>3289</v>
      </c>
      <c r="C285" s="847" t="s">
        <v>247</v>
      </c>
      <c r="D285" s="849" t="s">
        <v>248</v>
      </c>
      <c r="E285" s="665"/>
      <c r="F285" s="798">
        <f>W285-AL285</f>
        <v>0</v>
      </c>
      <c r="G285" s="665"/>
      <c r="H285" s="665"/>
      <c r="I285" s="665"/>
      <c r="J285" s="666">
        <f t="shared" si="90"/>
        <v>0</v>
      </c>
      <c r="K285" s="667"/>
      <c r="L285" s="655"/>
      <c r="M285" s="655"/>
      <c r="N285" s="655"/>
      <c r="O285" s="655"/>
      <c r="P285" s="655"/>
      <c r="Q285" s="655"/>
      <c r="R285" s="655"/>
      <c r="S285" s="655"/>
      <c r="T285" s="655"/>
      <c r="U285" s="837"/>
      <c r="V285" s="665"/>
      <c r="W285" s="665">
        <v>27150</v>
      </c>
      <c r="X285" s="665"/>
      <c r="Y285" s="665"/>
      <c r="Z285" s="665"/>
      <c r="AA285" s="666">
        <f t="shared" si="86"/>
        <v>27150</v>
      </c>
      <c r="AB285" s="667"/>
      <c r="AC285" s="655"/>
      <c r="AD285" s="655"/>
      <c r="AE285" s="655"/>
      <c r="AF285" s="655"/>
      <c r="AG285" s="655"/>
      <c r="AH285" s="655"/>
      <c r="AI285" s="655"/>
      <c r="AJ285" s="655"/>
      <c r="AK285" s="751"/>
      <c r="AL285" s="669">
        <f>24270+1440+1440</f>
        <v>27150</v>
      </c>
      <c r="AM285" s="791">
        <f t="shared" si="91"/>
        <v>0</v>
      </c>
      <c r="AN285" s="825" t="s">
        <v>395</v>
      </c>
    </row>
    <row r="286" spans="1:40" s="39" customFormat="1" ht="21.75" thickBot="1" x14ac:dyDescent="0.4">
      <c r="A286" s="660" t="s">
        <v>80</v>
      </c>
      <c r="B286" s="823">
        <v>3289</v>
      </c>
      <c r="C286" s="662" t="s">
        <v>247</v>
      </c>
      <c r="D286" s="672" t="s">
        <v>248</v>
      </c>
      <c r="E286" s="665"/>
      <c r="F286" s="798"/>
      <c r="G286" s="665">
        <f>X286-AL286</f>
        <v>0</v>
      </c>
      <c r="H286" s="665"/>
      <c r="I286" s="665"/>
      <c r="J286" s="666">
        <f t="shared" si="90"/>
        <v>0</v>
      </c>
      <c r="K286" s="667"/>
      <c r="L286" s="654"/>
      <c r="M286" s="654"/>
      <c r="N286" s="654"/>
      <c r="O286" s="654"/>
      <c r="P286" s="654"/>
      <c r="Q286" s="654"/>
      <c r="R286" s="654"/>
      <c r="S286" s="654"/>
      <c r="T286" s="654"/>
      <c r="U286" s="837"/>
      <c r="V286" s="665"/>
      <c r="W286" s="665"/>
      <c r="X286" s="665">
        <v>25890</v>
      </c>
      <c r="Y286" s="665"/>
      <c r="Z286" s="665"/>
      <c r="AA286" s="666">
        <f t="shared" si="86"/>
        <v>25890</v>
      </c>
      <c r="AB286" s="667"/>
      <c r="AC286" s="654"/>
      <c r="AD286" s="654"/>
      <c r="AE286" s="654"/>
      <c r="AF286" s="654"/>
      <c r="AG286" s="654"/>
      <c r="AH286" s="654"/>
      <c r="AI286" s="654"/>
      <c r="AJ286" s="654"/>
      <c r="AK286" s="824"/>
      <c r="AL286" s="669">
        <v>25890</v>
      </c>
      <c r="AM286" s="670">
        <f t="shared" si="91"/>
        <v>0</v>
      </c>
      <c r="AN286" s="825" t="s">
        <v>289</v>
      </c>
    </row>
    <row r="287" spans="1:40" s="39" customFormat="1" ht="21.75" thickBot="1" x14ac:dyDescent="0.4">
      <c r="A287" s="850" t="s">
        <v>80</v>
      </c>
      <c r="B287" s="970">
        <v>3289</v>
      </c>
      <c r="C287" s="847" t="s">
        <v>247</v>
      </c>
      <c r="D287" s="849" t="s">
        <v>248</v>
      </c>
      <c r="E287" s="665"/>
      <c r="F287" s="798"/>
      <c r="G287" s="665"/>
      <c r="H287" s="665">
        <f>Y287-AL287</f>
        <v>0</v>
      </c>
      <c r="I287" s="665"/>
      <c r="J287" s="666">
        <f t="shared" si="90"/>
        <v>0</v>
      </c>
      <c r="K287" s="667"/>
      <c r="L287" s="655"/>
      <c r="M287" s="655"/>
      <c r="N287" s="655"/>
      <c r="O287" s="655"/>
      <c r="P287" s="655"/>
      <c r="Q287" s="655"/>
      <c r="R287" s="655"/>
      <c r="S287" s="655"/>
      <c r="T287" s="655"/>
      <c r="U287" s="837"/>
      <c r="V287" s="665"/>
      <c r="W287" s="665"/>
      <c r="X287" s="665"/>
      <c r="Y287" s="665">
        <v>24600</v>
      </c>
      <c r="Z287" s="665"/>
      <c r="AA287" s="666">
        <f t="shared" si="86"/>
        <v>24600</v>
      </c>
      <c r="AB287" s="667"/>
      <c r="AC287" s="655"/>
      <c r="AD287" s="655"/>
      <c r="AE287" s="655"/>
      <c r="AF287" s="655"/>
      <c r="AG287" s="655"/>
      <c r="AH287" s="655"/>
      <c r="AI287" s="655"/>
      <c r="AJ287" s="655"/>
      <c r="AK287" s="751"/>
      <c r="AL287" s="669">
        <v>24600</v>
      </c>
      <c r="AM287" s="791">
        <f t="shared" si="91"/>
        <v>0</v>
      </c>
      <c r="AN287" s="825" t="s">
        <v>397</v>
      </c>
    </row>
    <row r="288" spans="1:40" s="39" customFormat="1" ht="21.75" thickBot="1" x14ac:dyDescent="0.4">
      <c r="A288" s="660" t="s">
        <v>80</v>
      </c>
      <c r="B288" s="823">
        <v>3289</v>
      </c>
      <c r="C288" s="662" t="s">
        <v>247</v>
      </c>
      <c r="D288" s="672" t="s">
        <v>248</v>
      </c>
      <c r="E288" s="665"/>
      <c r="F288" s="798"/>
      <c r="G288" s="665"/>
      <c r="H288" s="665"/>
      <c r="I288" s="665">
        <f>Z288-AL288</f>
        <v>0</v>
      </c>
      <c r="J288" s="666">
        <f t="shared" si="90"/>
        <v>0</v>
      </c>
      <c r="K288" s="667"/>
      <c r="L288" s="654"/>
      <c r="M288" s="654"/>
      <c r="N288" s="654"/>
      <c r="O288" s="654"/>
      <c r="P288" s="654"/>
      <c r="Q288" s="654"/>
      <c r="R288" s="654"/>
      <c r="S288" s="654"/>
      <c r="T288" s="654"/>
      <c r="U288" s="837"/>
      <c r="V288" s="665"/>
      <c r="W288" s="665"/>
      <c r="X288" s="665"/>
      <c r="Y288" s="665"/>
      <c r="Z288" s="665">
        <v>36240</v>
      </c>
      <c r="AA288" s="666">
        <f t="shared" si="86"/>
        <v>36240</v>
      </c>
      <c r="AB288" s="667"/>
      <c r="AC288" s="654"/>
      <c r="AD288" s="654"/>
      <c r="AE288" s="654"/>
      <c r="AF288" s="654"/>
      <c r="AG288" s="654"/>
      <c r="AH288" s="654"/>
      <c r="AI288" s="654"/>
      <c r="AJ288" s="654"/>
      <c r="AK288" s="824"/>
      <c r="AL288" s="669">
        <v>36240</v>
      </c>
      <c r="AM288" s="670">
        <f t="shared" si="91"/>
        <v>0</v>
      </c>
      <c r="AN288" s="825" t="s">
        <v>288</v>
      </c>
    </row>
    <row r="289" spans="1:40" s="39" customFormat="1" ht="21.75" thickBot="1" x14ac:dyDescent="0.4">
      <c r="A289" s="845" t="s">
        <v>80</v>
      </c>
      <c r="B289" s="823">
        <v>3292</v>
      </c>
      <c r="C289" s="847" t="s">
        <v>249</v>
      </c>
      <c r="D289" s="849" t="s">
        <v>248</v>
      </c>
      <c r="E289" s="665"/>
      <c r="F289" s="798"/>
      <c r="G289" s="665"/>
      <c r="H289" s="665"/>
      <c r="I289" s="665"/>
      <c r="J289" s="666">
        <f t="shared" si="90"/>
        <v>0</v>
      </c>
      <c r="K289" s="1183">
        <f>AB289-AL289</f>
        <v>0</v>
      </c>
      <c r="L289" s="654"/>
      <c r="M289" s="654"/>
      <c r="N289" s="654"/>
      <c r="O289" s="654"/>
      <c r="P289" s="654"/>
      <c r="Q289" s="654"/>
      <c r="R289" s="654"/>
      <c r="S289" s="654"/>
      <c r="T289" s="654"/>
      <c r="U289" s="1153"/>
      <c r="V289" s="665"/>
      <c r="W289" s="665"/>
      <c r="X289" s="665"/>
      <c r="Y289" s="665"/>
      <c r="Z289" s="665"/>
      <c r="AA289" s="666">
        <f t="shared" si="86"/>
        <v>0</v>
      </c>
      <c r="AB289" s="667">
        <v>870000</v>
      </c>
      <c r="AC289" s="654"/>
      <c r="AD289" s="654"/>
      <c r="AE289" s="654"/>
      <c r="AF289" s="654"/>
      <c r="AG289" s="654"/>
      <c r="AH289" s="654"/>
      <c r="AI289" s="654"/>
      <c r="AJ289" s="654"/>
      <c r="AK289" s="824"/>
      <c r="AL289" s="669">
        <f>794800+75200</f>
        <v>870000</v>
      </c>
      <c r="AM289" s="670">
        <f t="shared" si="91"/>
        <v>0</v>
      </c>
      <c r="AN289" s="825" t="s">
        <v>399</v>
      </c>
    </row>
    <row r="290" spans="1:40" s="39" customFormat="1" ht="21.75" thickBot="1" x14ac:dyDescent="0.4">
      <c r="A290" s="850" t="s">
        <v>80</v>
      </c>
      <c r="B290" s="970">
        <v>3306</v>
      </c>
      <c r="C290" s="847" t="s">
        <v>281</v>
      </c>
      <c r="D290" s="849" t="s">
        <v>266</v>
      </c>
      <c r="E290" s="665"/>
      <c r="F290" s="798"/>
      <c r="G290" s="665">
        <f>X290-AL290</f>
        <v>0</v>
      </c>
      <c r="H290" s="665"/>
      <c r="I290" s="665"/>
      <c r="J290" s="666">
        <f t="shared" si="90"/>
        <v>0</v>
      </c>
      <c r="K290" s="667"/>
      <c r="L290" s="655"/>
      <c r="M290" s="655"/>
      <c r="N290" s="655"/>
      <c r="O290" s="655"/>
      <c r="P290" s="655"/>
      <c r="Q290" s="655"/>
      <c r="R290" s="655"/>
      <c r="S290" s="655"/>
      <c r="T290" s="655"/>
      <c r="U290" s="837"/>
      <c r="V290" s="665"/>
      <c r="W290" s="665"/>
      <c r="X290" s="665">
        <v>12180</v>
      </c>
      <c r="Y290" s="665"/>
      <c r="Z290" s="665"/>
      <c r="AA290" s="665">
        <f t="shared" si="86"/>
        <v>12180</v>
      </c>
      <c r="AB290" s="667"/>
      <c r="AC290" s="655"/>
      <c r="AD290" s="655"/>
      <c r="AE290" s="655"/>
      <c r="AF290" s="655"/>
      <c r="AG290" s="655"/>
      <c r="AH290" s="655"/>
      <c r="AI290" s="655"/>
      <c r="AJ290" s="655"/>
      <c r="AK290" s="751"/>
      <c r="AL290" s="669">
        <f>1440+2880+2730+5130</f>
        <v>12180</v>
      </c>
      <c r="AM290" s="1194">
        <f t="shared" si="91"/>
        <v>0</v>
      </c>
      <c r="AN290" s="825" t="s">
        <v>460</v>
      </c>
    </row>
    <row r="291" spans="1:40" s="39" customFormat="1" ht="21.75" thickBot="1" x14ac:dyDescent="0.4">
      <c r="A291" s="850" t="s">
        <v>80</v>
      </c>
      <c r="B291" s="970">
        <v>3306</v>
      </c>
      <c r="C291" s="847" t="s">
        <v>281</v>
      </c>
      <c r="D291" s="849" t="s">
        <v>276</v>
      </c>
      <c r="E291" s="665"/>
      <c r="F291" s="798">
        <f>W291-AL291</f>
        <v>0</v>
      </c>
      <c r="G291" s="665"/>
      <c r="H291" s="665"/>
      <c r="I291" s="665"/>
      <c r="J291" s="666">
        <f t="shared" si="90"/>
        <v>0</v>
      </c>
      <c r="K291" s="667"/>
      <c r="L291" s="655"/>
      <c r="M291" s="655"/>
      <c r="N291" s="655"/>
      <c r="O291" s="655"/>
      <c r="P291" s="655"/>
      <c r="Q291" s="655"/>
      <c r="R291" s="655"/>
      <c r="S291" s="655"/>
      <c r="T291" s="655"/>
      <c r="U291" s="837"/>
      <c r="V291" s="665"/>
      <c r="W291" s="665">
        <v>2880</v>
      </c>
      <c r="X291" s="665"/>
      <c r="Y291" s="665"/>
      <c r="Z291" s="665"/>
      <c r="AA291" s="666">
        <f t="shared" si="86"/>
        <v>2880</v>
      </c>
      <c r="AB291" s="667"/>
      <c r="AC291" s="655"/>
      <c r="AD291" s="655"/>
      <c r="AE291" s="655"/>
      <c r="AF291" s="655"/>
      <c r="AG291" s="655"/>
      <c r="AH291" s="655"/>
      <c r="AI291" s="655"/>
      <c r="AJ291" s="655"/>
      <c r="AK291" s="751"/>
      <c r="AL291" s="669">
        <f>1440+1440</f>
        <v>2880</v>
      </c>
      <c r="AM291" s="1194">
        <f t="shared" si="91"/>
        <v>0</v>
      </c>
      <c r="AN291" s="825" t="s">
        <v>393</v>
      </c>
    </row>
    <row r="292" spans="1:40" s="39" customFormat="1" ht="21.75" thickBot="1" x14ac:dyDescent="0.4">
      <c r="A292" s="850" t="s">
        <v>80</v>
      </c>
      <c r="B292" s="970">
        <v>3306</v>
      </c>
      <c r="C292" s="847" t="s">
        <v>281</v>
      </c>
      <c r="D292" s="849" t="s">
        <v>276</v>
      </c>
      <c r="E292" s="665"/>
      <c r="F292" s="798"/>
      <c r="G292" s="665"/>
      <c r="H292" s="665">
        <f>Y292-AL292</f>
        <v>0</v>
      </c>
      <c r="I292" s="665"/>
      <c r="J292" s="666">
        <f t="shared" si="90"/>
        <v>0</v>
      </c>
      <c r="K292" s="667"/>
      <c r="L292" s="655"/>
      <c r="M292" s="655"/>
      <c r="N292" s="655"/>
      <c r="O292" s="655"/>
      <c r="P292" s="655"/>
      <c r="Q292" s="655"/>
      <c r="R292" s="655"/>
      <c r="S292" s="655"/>
      <c r="T292" s="655"/>
      <c r="U292" s="837"/>
      <c r="V292" s="665"/>
      <c r="W292" s="665"/>
      <c r="X292" s="665"/>
      <c r="Y292" s="665">
        <v>12780</v>
      </c>
      <c r="Z292" s="665"/>
      <c r="AA292" s="666">
        <f t="shared" si="86"/>
        <v>12780</v>
      </c>
      <c r="AB292" s="667"/>
      <c r="AC292" s="655"/>
      <c r="AD292" s="655"/>
      <c r="AE292" s="655"/>
      <c r="AF292" s="655"/>
      <c r="AG292" s="655"/>
      <c r="AH292" s="655"/>
      <c r="AI292" s="655"/>
      <c r="AJ292" s="655"/>
      <c r="AK292" s="751"/>
      <c r="AL292" s="669">
        <f>3600+720+8460</f>
        <v>12780</v>
      </c>
      <c r="AM292" s="1194">
        <f t="shared" si="91"/>
        <v>0</v>
      </c>
      <c r="AN292" s="1175" t="s">
        <v>398</v>
      </c>
    </row>
    <row r="293" spans="1:40" s="39" customFormat="1" ht="21.75" thickBot="1" x14ac:dyDescent="0.4">
      <c r="A293" s="850" t="s">
        <v>80</v>
      </c>
      <c r="B293" s="970">
        <v>3306</v>
      </c>
      <c r="C293" s="847" t="s">
        <v>281</v>
      </c>
      <c r="D293" s="849" t="s">
        <v>276</v>
      </c>
      <c r="E293" s="665"/>
      <c r="F293" s="798"/>
      <c r="G293" s="665"/>
      <c r="H293" s="665"/>
      <c r="I293" s="665">
        <f>Z293-AL293</f>
        <v>0</v>
      </c>
      <c r="J293" s="666">
        <f t="shared" si="90"/>
        <v>0</v>
      </c>
      <c r="K293" s="667"/>
      <c r="L293" s="655"/>
      <c r="M293" s="655"/>
      <c r="N293" s="655"/>
      <c r="O293" s="655"/>
      <c r="P293" s="655"/>
      <c r="Q293" s="655"/>
      <c r="R293" s="655"/>
      <c r="S293" s="655"/>
      <c r="T293" s="655"/>
      <c r="U293" s="837"/>
      <c r="V293" s="665"/>
      <c r="W293" s="665"/>
      <c r="X293" s="665"/>
      <c r="Y293" s="665"/>
      <c r="Z293" s="665">
        <v>53460</v>
      </c>
      <c r="AA293" s="666">
        <f t="shared" si="86"/>
        <v>53460</v>
      </c>
      <c r="AB293" s="667"/>
      <c r="AC293" s="655"/>
      <c r="AD293" s="655"/>
      <c r="AE293" s="655"/>
      <c r="AF293" s="655"/>
      <c r="AG293" s="655"/>
      <c r="AH293" s="655"/>
      <c r="AI293" s="655"/>
      <c r="AJ293" s="655"/>
      <c r="AK293" s="751"/>
      <c r="AL293" s="669">
        <f>3600+3600+46260</f>
        <v>53460</v>
      </c>
      <c r="AM293" s="1194">
        <f t="shared" si="91"/>
        <v>0</v>
      </c>
      <c r="AN293" s="1175" t="s">
        <v>394</v>
      </c>
    </row>
    <row r="294" spans="1:40" s="39" customFormat="1" ht="21.75" thickBot="1" x14ac:dyDescent="0.4">
      <c r="A294" s="839" t="s">
        <v>80</v>
      </c>
      <c r="B294" s="877">
        <v>3308</v>
      </c>
      <c r="C294" s="859" t="s">
        <v>282</v>
      </c>
      <c r="D294" s="840" t="s">
        <v>276</v>
      </c>
      <c r="E294" s="347">
        <f>V294-AL294</f>
        <v>0</v>
      </c>
      <c r="F294" s="804"/>
      <c r="G294" s="347"/>
      <c r="H294" s="347"/>
      <c r="I294" s="347"/>
      <c r="J294" s="719">
        <f t="shared" si="90"/>
        <v>0</v>
      </c>
      <c r="K294" s="890">
        <v>0</v>
      </c>
      <c r="L294" s="405"/>
      <c r="M294" s="405"/>
      <c r="N294" s="405"/>
      <c r="O294" s="405"/>
      <c r="P294" s="405"/>
      <c r="Q294" s="405"/>
      <c r="R294" s="405"/>
      <c r="S294" s="405"/>
      <c r="T294" s="405"/>
      <c r="U294" s="837"/>
      <c r="V294" s="347">
        <v>125000</v>
      </c>
      <c r="W294" s="347"/>
      <c r="X294" s="347"/>
      <c r="Y294" s="347"/>
      <c r="Z294" s="347"/>
      <c r="AA294" s="719">
        <f t="shared" si="86"/>
        <v>0</v>
      </c>
      <c r="AB294" s="348">
        <v>0</v>
      </c>
      <c r="AC294" s="405"/>
      <c r="AD294" s="405"/>
      <c r="AE294" s="405"/>
      <c r="AF294" s="405"/>
      <c r="AG294" s="405"/>
      <c r="AH294" s="405"/>
      <c r="AI294" s="405"/>
      <c r="AJ294" s="405"/>
      <c r="AK294" s="864"/>
      <c r="AL294" s="721">
        <v>125000</v>
      </c>
      <c r="AM294" s="626">
        <f t="shared" si="91"/>
        <v>0</v>
      </c>
      <c r="AN294" s="860" t="s">
        <v>308</v>
      </c>
    </row>
    <row r="295" spans="1:40" s="39" customFormat="1" ht="21.75" thickBot="1" x14ac:dyDescent="0.4">
      <c r="A295" s="850" t="s">
        <v>80</v>
      </c>
      <c r="B295" s="950">
        <v>3322</v>
      </c>
      <c r="C295" s="847" t="s">
        <v>321</v>
      </c>
      <c r="D295" s="849" t="s">
        <v>323</v>
      </c>
      <c r="E295" s="665"/>
      <c r="F295" s="798"/>
      <c r="G295" s="665">
        <f>X295-AL295</f>
        <v>0</v>
      </c>
      <c r="H295" s="665"/>
      <c r="I295" s="665"/>
      <c r="J295" s="666">
        <f t="shared" si="90"/>
        <v>0</v>
      </c>
      <c r="K295" s="667"/>
      <c r="L295" s="655"/>
      <c r="M295" s="655"/>
      <c r="N295" s="655"/>
      <c r="O295" s="655"/>
      <c r="P295" s="655"/>
      <c r="Q295" s="655"/>
      <c r="R295" s="655"/>
      <c r="S295" s="655"/>
      <c r="T295" s="655"/>
      <c r="U295" s="1090"/>
      <c r="V295" s="665"/>
      <c r="W295" s="665"/>
      <c r="X295" s="665">
        <v>16500</v>
      </c>
      <c r="Y295" s="665"/>
      <c r="Z295" s="665"/>
      <c r="AA295" s="665">
        <f t="shared" si="86"/>
        <v>16500</v>
      </c>
      <c r="AB295" s="667"/>
      <c r="AC295" s="655"/>
      <c r="AD295" s="655"/>
      <c r="AE295" s="655"/>
      <c r="AF295" s="655"/>
      <c r="AG295" s="655"/>
      <c r="AH295" s="655"/>
      <c r="AI295" s="655"/>
      <c r="AJ295" s="655"/>
      <c r="AK295" s="687"/>
      <c r="AL295" s="669">
        <v>16500</v>
      </c>
      <c r="AM295" s="791">
        <f t="shared" si="91"/>
        <v>0</v>
      </c>
      <c r="AN295" s="825" t="s">
        <v>511</v>
      </c>
    </row>
    <row r="296" spans="1:40" s="39" customFormat="1" ht="21.75" thickBot="1" x14ac:dyDescent="0.4">
      <c r="A296" s="850" t="s">
        <v>80</v>
      </c>
      <c r="B296" s="851">
        <v>3322</v>
      </c>
      <c r="C296" s="847" t="s">
        <v>321</v>
      </c>
      <c r="D296" s="849" t="s">
        <v>323</v>
      </c>
      <c r="E296" s="664"/>
      <c r="F296" s="798"/>
      <c r="G296" s="665"/>
      <c r="H296" s="665">
        <f>Y296-AL296</f>
        <v>0</v>
      </c>
      <c r="I296" s="665"/>
      <c r="J296" s="666">
        <f t="shared" si="90"/>
        <v>0</v>
      </c>
      <c r="K296" s="667"/>
      <c r="L296" s="1097"/>
      <c r="M296" s="655"/>
      <c r="N296" s="655"/>
      <c r="O296" s="655"/>
      <c r="P296" s="655"/>
      <c r="Q296" s="655"/>
      <c r="R296" s="655"/>
      <c r="S296" s="655"/>
      <c r="T296" s="655"/>
      <c r="U296" s="1090"/>
      <c r="V296" s="665"/>
      <c r="W296" s="665"/>
      <c r="X296" s="665"/>
      <c r="Y296" s="665">
        <v>45000</v>
      </c>
      <c r="Z296" s="665"/>
      <c r="AA296" s="665">
        <f t="shared" si="86"/>
        <v>45000</v>
      </c>
      <c r="AB296" s="667"/>
      <c r="AC296" s="655"/>
      <c r="AD296" s="655"/>
      <c r="AE296" s="655"/>
      <c r="AF296" s="655"/>
      <c r="AG296" s="655"/>
      <c r="AH296" s="655"/>
      <c r="AI296" s="655"/>
      <c r="AJ296" s="655"/>
      <c r="AK296" s="687"/>
      <c r="AL296" s="669">
        <v>45000</v>
      </c>
      <c r="AM296" s="791">
        <f t="shared" si="91"/>
        <v>0</v>
      </c>
      <c r="AN296" s="825" t="s">
        <v>511</v>
      </c>
    </row>
    <row r="297" spans="1:40" s="39" customFormat="1" ht="21.75" thickBot="1" x14ac:dyDescent="0.4">
      <c r="A297" s="850" t="s">
        <v>80</v>
      </c>
      <c r="B297" s="846">
        <v>3322</v>
      </c>
      <c r="C297" s="847" t="s">
        <v>321</v>
      </c>
      <c r="D297" s="849" t="s">
        <v>323</v>
      </c>
      <c r="E297" s="665"/>
      <c r="F297" s="798"/>
      <c r="G297" s="665"/>
      <c r="H297" s="665"/>
      <c r="I297" s="665">
        <f>Z297-AL297</f>
        <v>0</v>
      </c>
      <c r="J297" s="666">
        <f t="shared" si="90"/>
        <v>0</v>
      </c>
      <c r="K297" s="667"/>
      <c r="L297" s="655"/>
      <c r="M297" s="655"/>
      <c r="N297" s="655"/>
      <c r="O297" s="655"/>
      <c r="P297" s="655"/>
      <c r="Q297" s="655"/>
      <c r="R297" s="655"/>
      <c r="S297" s="655"/>
      <c r="T297" s="655"/>
      <c r="U297" s="1090"/>
      <c r="V297" s="665"/>
      <c r="W297" s="665"/>
      <c r="X297" s="665"/>
      <c r="Y297" s="665"/>
      <c r="Z297" s="665">
        <v>15000</v>
      </c>
      <c r="AA297" s="665">
        <f t="shared" si="86"/>
        <v>15000</v>
      </c>
      <c r="AB297" s="667"/>
      <c r="AC297" s="655"/>
      <c r="AD297" s="655"/>
      <c r="AE297" s="655"/>
      <c r="AF297" s="655"/>
      <c r="AG297" s="655"/>
      <c r="AH297" s="655"/>
      <c r="AI297" s="655"/>
      <c r="AJ297" s="655"/>
      <c r="AK297" s="687"/>
      <c r="AL297" s="669">
        <v>15000</v>
      </c>
      <c r="AM297" s="791">
        <f t="shared" si="91"/>
        <v>0</v>
      </c>
      <c r="AN297" s="825" t="s">
        <v>511</v>
      </c>
    </row>
    <row r="298" spans="1:40" s="39" customFormat="1" ht="21.75" thickBot="1" x14ac:dyDescent="0.4">
      <c r="A298" s="850" t="s">
        <v>80</v>
      </c>
      <c r="B298" s="846">
        <v>3323</v>
      </c>
      <c r="C298" s="847" t="s">
        <v>321</v>
      </c>
      <c r="D298" s="849" t="s">
        <v>323</v>
      </c>
      <c r="E298" s="665"/>
      <c r="F298" s="798"/>
      <c r="G298" s="665"/>
      <c r="H298" s="665"/>
      <c r="I298" s="665"/>
      <c r="J298" s="666">
        <f t="shared" si="90"/>
        <v>0</v>
      </c>
      <c r="K298" s="667"/>
      <c r="L298" s="655"/>
      <c r="M298" s="655">
        <f>AD298-AL298</f>
        <v>0</v>
      </c>
      <c r="N298" s="655"/>
      <c r="O298" s="655"/>
      <c r="P298" s="655"/>
      <c r="Q298" s="655"/>
      <c r="R298" s="655"/>
      <c r="S298" s="655"/>
      <c r="T298" s="655"/>
      <c r="U298" s="837"/>
      <c r="V298" s="665"/>
      <c r="W298" s="665"/>
      <c r="X298" s="665"/>
      <c r="Y298" s="665"/>
      <c r="Z298" s="665"/>
      <c r="AA298" s="666">
        <f t="shared" si="86"/>
        <v>0</v>
      </c>
      <c r="AB298" s="667"/>
      <c r="AC298" s="655"/>
      <c r="AD298" s="655">
        <v>10000</v>
      </c>
      <c r="AE298" s="655"/>
      <c r="AF298" s="655"/>
      <c r="AG298" s="655"/>
      <c r="AH298" s="655"/>
      <c r="AI298" s="655"/>
      <c r="AJ298" s="655"/>
      <c r="AK298" s="687"/>
      <c r="AL298" s="669">
        <v>10000</v>
      </c>
      <c r="AM298" s="791">
        <f t="shared" si="91"/>
        <v>0</v>
      </c>
      <c r="AN298" s="825" t="s">
        <v>396</v>
      </c>
    </row>
    <row r="299" spans="1:40" s="39" customFormat="1" ht="21.75" thickBot="1" x14ac:dyDescent="0.4">
      <c r="A299" s="850" t="s">
        <v>80</v>
      </c>
      <c r="B299" s="846">
        <v>3323</v>
      </c>
      <c r="C299" s="847" t="s">
        <v>321</v>
      </c>
      <c r="D299" s="849" t="s">
        <v>323</v>
      </c>
      <c r="E299" s="665"/>
      <c r="F299" s="798"/>
      <c r="G299" s="665"/>
      <c r="H299" s="665"/>
      <c r="I299" s="665"/>
      <c r="J299" s="666">
        <f t="shared" si="90"/>
        <v>0</v>
      </c>
      <c r="K299" s="667"/>
      <c r="L299" s="655">
        <f>AD299-AK299</f>
        <v>0</v>
      </c>
      <c r="M299" s="655">
        <f>AE299-AL299</f>
        <v>0</v>
      </c>
      <c r="N299" s="655"/>
      <c r="O299" s="655"/>
      <c r="P299" s="655"/>
      <c r="Q299" s="655"/>
      <c r="R299" s="655"/>
      <c r="S299" s="655"/>
      <c r="T299" s="655"/>
      <c r="U299" s="837"/>
      <c r="V299" s="665"/>
      <c r="W299" s="665"/>
      <c r="X299" s="665"/>
      <c r="Y299" s="665"/>
      <c r="Z299" s="665"/>
      <c r="AA299" s="666">
        <f t="shared" si="86"/>
        <v>0</v>
      </c>
      <c r="AB299" s="667"/>
      <c r="AC299" s="655"/>
      <c r="AD299" s="655"/>
      <c r="AE299" s="655">
        <v>10000</v>
      </c>
      <c r="AF299" s="655"/>
      <c r="AG299" s="655"/>
      <c r="AH299" s="655"/>
      <c r="AI299" s="655"/>
      <c r="AJ299" s="655"/>
      <c r="AK299" s="687"/>
      <c r="AL299" s="669">
        <v>10000</v>
      </c>
      <c r="AM299" s="791">
        <f t="shared" si="91"/>
        <v>0</v>
      </c>
      <c r="AN299" s="825" t="s">
        <v>396</v>
      </c>
    </row>
    <row r="300" spans="1:40" s="39" customFormat="1" ht="21.75" thickBot="1" x14ac:dyDescent="0.4">
      <c r="A300" s="850" t="s">
        <v>80</v>
      </c>
      <c r="B300" s="846">
        <v>3324</v>
      </c>
      <c r="C300" s="847" t="s">
        <v>321</v>
      </c>
      <c r="D300" s="849" t="s">
        <v>322</v>
      </c>
      <c r="E300" s="665">
        <f>V300-AL300</f>
        <v>0</v>
      </c>
      <c r="F300" s="798"/>
      <c r="G300" s="665"/>
      <c r="H300" s="665"/>
      <c r="I300" s="665"/>
      <c r="J300" s="666">
        <f t="shared" si="90"/>
        <v>0</v>
      </c>
      <c r="K300" s="667"/>
      <c r="L300" s="655"/>
      <c r="M300" s="655"/>
      <c r="N300" s="655"/>
      <c r="O300" s="655"/>
      <c r="P300" s="655"/>
      <c r="Q300" s="655"/>
      <c r="R300" s="655"/>
      <c r="S300" s="655"/>
      <c r="T300" s="655"/>
      <c r="U300" s="837"/>
      <c r="V300" s="665">
        <v>125000</v>
      </c>
      <c r="W300" s="665"/>
      <c r="X300" s="665"/>
      <c r="Y300" s="665"/>
      <c r="Z300" s="665"/>
      <c r="AA300" s="665">
        <f t="shared" si="86"/>
        <v>0</v>
      </c>
      <c r="AB300" s="667"/>
      <c r="AC300" s="655"/>
      <c r="AD300" s="655"/>
      <c r="AE300" s="655"/>
      <c r="AF300" s="655"/>
      <c r="AG300" s="655"/>
      <c r="AH300" s="655"/>
      <c r="AI300" s="655"/>
      <c r="AJ300" s="655"/>
      <c r="AK300" s="687"/>
      <c r="AL300" s="669">
        <v>125000</v>
      </c>
      <c r="AM300" s="791">
        <f t="shared" si="91"/>
        <v>0</v>
      </c>
      <c r="AN300" s="825" t="s">
        <v>459</v>
      </c>
    </row>
    <row r="301" spans="1:40" s="39" customFormat="1" ht="21.75" thickBot="1" x14ac:dyDescent="0.4">
      <c r="A301" s="850" t="s">
        <v>80</v>
      </c>
      <c r="B301" s="846">
        <v>3266</v>
      </c>
      <c r="C301" s="847" t="s">
        <v>375</v>
      </c>
      <c r="D301" s="849" t="s">
        <v>377</v>
      </c>
      <c r="E301" s="665">
        <f>V301-AL301</f>
        <v>0</v>
      </c>
      <c r="F301" s="798"/>
      <c r="G301" s="665"/>
      <c r="H301" s="665"/>
      <c r="I301" s="665"/>
      <c r="J301" s="666">
        <f t="shared" si="90"/>
        <v>0</v>
      </c>
      <c r="K301" s="667"/>
      <c r="L301" s="655"/>
      <c r="M301" s="655"/>
      <c r="N301" s="655"/>
      <c r="O301" s="655"/>
      <c r="P301" s="655"/>
      <c r="Q301" s="655"/>
      <c r="R301" s="655"/>
      <c r="S301" s="655"/>
      <c r="T301" s="655"/>
      <c r="U301" s="837"/>
      <c r="V301" s="665">
        <v>125000</v>
      </c>
      <c r="W301" s="665"/>
      <c r="X301" s="665"/>
      <c r="Y301" s="665"/>
      <c r="Z301" s="665"/>
      <c r="AA301" s="665">
        <f t="shared" si="86"/>
        <v>0</v>
      </c>
      <c r="AB301" s="667"/>
      <c r="AC301" s="655"/>
      <c r="AD301" s="655"/>
      <c r="AE301" s="655"/>
      <c r="AF301" s="655"/>
      <c r="AG301" s="655"/>
      <c r="AH301" s="655"/>
      <c r="AI301" s="655"/>
      <c r="AJ301" s="655"/>
      <c r="AK301" s="687"/>
      <c r="AL301" s="669">
        <f>13625+111375</f>
        <v>125000</v>
      </c>
      <c r="AM301" s="791">
        <f t="shared" si="91"/>
        <v>0</v>
      </c>
      <c r="AN301" s="825" t="s">
        <v>499</v>
      </c>
    </row>
    <row r="302" spans="1:40" s="381" customFormat="1" ht="21.75" thickBot="1" x14ac:dyDescent="0.4">
      <c r="A302" s="850" t="s">
        <v>80</v>
      </c>
      <c r="B302" s="846">
        <v>3327</v>
      </c>
      <c r="C302" s="903" t="s">
        <v>446</v>
      </c>
      <c r="D302" s="863" t="s">
        <v>447</v>
      </c>
      <c r="E302" s="798"/>
      <c r="F302" s="798"/>
      <c r="G302" s="665"/>
      <c r="H302" s="665"/>
      <c r="I302" s="665"/>
      <c r="J302" s="666">
        <f t="shared" si="90"/>
        <v>0</v>
      </c>
      <c r="K302" s="667"/>
      <c r="L302" s="655"/>
      <c r="M302" s="655">
        <f>AD302-AL302</f>
        <v>0</v>
      </c>
      <c r="N302" s="655"/>
      <c r="O302" s="655"/>
      <c r="P302" s="655"/>
      <c r="Q302" s="655"/>
      <c r="R302" s="655"/>
      <c r="S302" s="655"/>
      <c r="T302" s="655"/>
      <c r="U302" s="837"/>
      <c r="V302" s="665"/>
      <c r="W302" s="665"/>
      <c r="X302" s="665"/>
      <c r="Y302" s="665"/>
      <c r="Z302" s="686"/>
      <c r="AA302" s="665">
        <f t="shared" si="86"/>
        <v>0</v>
      </c>
      <c r="AB302" s="667"/>
      <c r="AC302" s="655"/>
      <c r="AD302" s="655">
        <v>20000</v>
      </c>
      <c r="AE302" s="655"/>
      <c r="AF302" s="655"/>
      <c r="AG302" s="655"/>
      <c r="AH302" s="655"/>
      <c r="AI302" s="655"/>
      <c r="AJ302" s="655"/>
      <c r="AK302" s="687"/>
      <c r="AL302" s="669">
        <f>14245+5755</f>
        <v>20000</v>
      </c>
      <c r="AM302" s="791">
        <f>(V302+W302+X302+Y302+Z302+AB302+AC302+AD302+AE302+AF302+AG302+AH302+AI302+AJ302+AK302)-AL302</f>
        <v>0</v>
      </c>
      <c r="AN302" s="852" t="s">
        <v>508</v>
      </c>
    </row>
    <row r="303" spans="1:40" s="381" customFormat="1" ht="21.75" thickBot="1" x14ac:dyDescent="0.4">
      <c r="A303" s="845" t="s">
        <v>80</v>
      </c>
      <c r="B303" s="846">
        <v>3334</v>
      </c>
      <c r="C303" s="903" t="s">
        <v>411</v>
      </c>
      <c r="D303" s="863" t="s">
        <v>322</v>
      </c>
      <c r="E303" s="1000"/>
      <c r="F303" s="798"/>
      <c r="G303" s="665"/>
      <c r="H303" s="665"/>
      <c r="I303" s="665"/>
      <c r="J303" s="666">
        <f t="shared" si="90"/>
        <v>0</v>
      </c>
      <c r="K303" s="667"/>
      <c r="L303" s="655"/>
      <c r="M303" s="655">
        <f>AD303-AL303</f>
        <v>0</v>
      </c>
      <c r="N303" s="655"/>
      <c r="O303" s="655"/>
      <c r="P303" s="655"/>
      <c r="Q303" s="655"/>
      <c r="R303" s="655"/>
      <c r="S303" s="655"/>
      <c r="T303" s="655"/>
      <c r="U303" s="1153"/>
      <c r="V303" s="665"/>
      <c r="W303" s="665"/>
      <c r="X303" s="665"/>
      <c r="Y303" s="665"/>
      <c r="Z303" s="686"/>
      <c r="AA303" s="666">
        <f t="shared" si="86"/>
        <v>0</v>
      </c>
      <c r="AB303" s="667"/>
      <c r="AC303" s="655"/>
      <c r="AD303" s="655">
        <v>20000</v>
      </c>
      <c r="AE303" s="655"/>
      <c r="AF303" s="655"/>
      <c r="AG303" s="655"/>
      <c r="AH303" s="655"/>
      <c r="AI303" s="655"/>
      <c r="AJ303" s="655"/>
      <c r="AK303" s="668"/>
      <c r="AL303" s="669">
        <v>20000</v>
      </c>
      <c r="AM303" s="670">
        <f t="shared" si="91"/>
        <v>0</v>
      </c>
      <c r="AN303" s="879" t="s">
        <v>532</v>
      </c>
    </row>
    <row r="304" spans="1:40" s="381" customFormat="1" ht="21.75" thickBot="1" x14ac:dyDescent="0.4">
      <c r="A304" s="850" t="s">
        <v>80</v>
      </c>
      <c r="B304" s="846">
        <v>3335</v>
      </c>
      <c r="C304" s="903" t="s">
        <v>410</v>
      </c>
      <c r="D304" s="863" t="s">
        <v>322</v>
      </c>
      <c r="E304" s="798"/>
      <c r="F304" s="798"/>
      <c r="G304" s="665"/>
      <c r="H304" s="665"/>
      <c r="I304" s="665"/>
      <c r="J304" s="665">
        <f t="shared" si="90"/>
        <v>0</v>
      </c>
      <c r="K304" s="667"/>
      <c r="L304" s="655"/>
      <c r="M304" s="655"/>
      <c r="N304" s="655">
        <f>AE304-AL304</f>
        <v>0</v>
      </c>
      <c r="O304" s="655"/>
      <c r="P304" s="655"/>
      <c r="Q304" s="655"/>
      <c r="R304" s="655"/>
      <c r="S304" s="655"/>
      <c r="T304" s="655"/>
      <c r="U304" s="837"/>
      <c r="V304" s="665"/>
      <c r="W304" s="665"/>
      <c r="X304" s="665"/>
      <c r="Y304" s="665"/>
      <c r="Z304" s="686"/>
      <c r="AA304" s="665">
        <f t="shared" si="86"/>
        <v>0</v>
      </c>
      <c r="AB304" s="667"/>
      <c r="AC304" s="655"/>
      <c r="AD304" s="655"/>
      <c r="AE304" s="655">
        <v>15000</v>
      </c>
      <c r="AF304" s="655"/>
      <c r="AG304" s="655"/>
      <c r="AH304" s="655"/>
      <c r="AI304" s="655"/>
      <c r="AJ304" s="655"/>
      <c r="AK304" s="687"/>
      <c r="AL304" s="669">
        <v>15000</v>
      </c>
      <c r="AM304" s="791">
        <f t="shared" si="91"/>
        <v>0</v>
      </c>
      <c r="AN304" s="852" t="s">
        <v>513</v>
      </c>
    </row>
    <row r="305" spans="1:40" s="381" customFormat="1" ht="21.75" thickBot="1" x14ac:dyDescent="0.4">
      <c r="A305" s="380" t="s">
        <v>80</v>
      </c>
      <c r="B305" s="378">
        <v>3338</v>
      </c>
      <c r="C305" s="423" t="s">
        <v>444</v>
      </c>
      <c r="D305" s="424" t="s">
        <v>445</v>
      </c>
      <c r="E305" s="355">
        <f>V305-AL305</f>
        <v>58825</v>
      </c>
      <c r="F305" s="803"/>
      <c r="G305" s="355"/>
      <c r="H305" s="355"/>
      <c r="I305" s="355"/>
      <c r="J305" s="351">
        <f t="shared" si="90"/>
        <v>0</v>
      </c>
      <c r="K305" s="367"/>
      <c r="L305" s="486"/>
      <c r="M305" s="486"/>
      <c r="N305" s="486"/>
      <c r="O305" s="486"/>
      <c r="P305" s="486"/>
      <c r="Q305" s="486"/>
      <c r="R305" s="486"/>
      <c r="S305" s="486"/>
      <c r="T305" s="486"/>
      <c r="U305" s="837"/>
      <c r="V305" s="356">
        <v>125000</v>
      </c>
      <c r="W305" s="356"/>
      <c r="X305" s="356"/>
      <c r="Y305" s="356"/>
      <c r="Z305" s="356"/>
      <c r="AA305" s="356">
        <f t="shared" si="86"/>
        <v>0</v>
      </c>
      <c r="AB305" s="358"/>
      <c r="AC305" s="388"/>
      <c r="AD305" s="388"/>
      <c r="AE305" s="388"/>
      <c r="AF305" s="388"/>
      <c r="AG305" s="388"/>
      <c r="AH305" s="388"/>
      <c r="AI305" s="388"/>
      <c r="AJ305" s="388"/>
      <c r="AK305" s="438"/>
      <c r="AL305" s="436">
        <f>13675+52500</f>
        <v>66175</v>
      </c>
      <c r="AM305" s="390">
        <f t="shared" ref="AM305:AM312" si="92">(V305+W305+X305+Y305+Z305+AB305+AC305+AD305+AE305+AF305+AG305+AH305+AI305+AJ305+AK305)-AL305</f>
        <v>58825</v>
      </c>
      <c r="AN305" s="1089" t="s">
        <v>530</v>
      </c>
    </row>
    <row r="306" spans="1:40" s="39" customFormat="1" ht="21.75" thickBot="1" x14ac:dyDescent="0.4">
      <c r="A306" s="850" t="s">
        <v>80</v>
      </c>
      <c r="B306" s="846">
        <v>3339</v>
      </c>
      <c r="C306" s="847">
        <v>45732</v>
      </c>
      <c r="D306" s="849">
        <v>45746</v>
      </c>
      <c r="E306" s="665"/>
      <c r="F306" s="798"/>
      <c r="G306" s="665"/>
      <c r="H306" s="665"/>
      <c r="I306" s="665"/>
      <c r="J306" s="666">
        <f t="shared" si="90"/>
        <v>0</v>
      </c>
      <c r="K306" s="667"/>
      <c r="L306" s="655"/>
      <c r="M306" s="655">
        <f>AD306-AL306</f>
        <v>0</v>
      </c>
      <c r="N306" s="655"/>
      <c r="O306" s="655"/>
      <c r="P306" s="655"/>
      <c r="Q306" s="655"/>
      <c r="R306" s="655"/>
      <c r="S306" s="655"/>
      <c r="T306" s="655"/>
      <c r="U306" s="837"/>
      <c r="V306" s="665"/>
      <c r="W306" s="665"/>
      <c r="X306" s="665"/>
      <c r="Y306" s="665"/>
      <c r="Z306" s="665"/>
      <c r="AA306" s="665">
        <f t="shared" si="86"/>
        <v>0</v>
      </c>
      <c r="AB306" s="667"/>
      <c r="AC306" s="1097"/>
      <c r="AD306" s="655">
        <v>20000</v>
      </c>
      <c r="AE306" s="655"/>
      <c r="AF306" s="655"/>
      <c r="AG306" s="655"/>
      <c r="AH306" s="655"/>
      <c r="AI306" s="655"/>
      <c r="AJ306" s="655"/>
      <c r="AK306" s="687"/>
      <c r="AL306" s="669">
        <v>20000</v>
      </c>
      <c r="AM306" s="791">
        <f t="shared" si="92"/>
        <v>0</v>
      </c>
      <c r="AN306" s="528" t="s">
        <v>487</v>
      </c>
    </row>
    <row r="307" spans="1:40" s="39" customFormat="1" ht="21.75" thickBot="1" x14ac:dyDescent="0.4">
      <c r="A307" s="850" t="s">
        <v>80</v>
      </c>
      <c r="B307" s="846">
        <v>3339</v>
      </c>
      <c r="C307" s="847">
        <v>45732</v>
      </c>
      <c r="D307" s="849">
        <v>45746</v>
      </c>
      <c r="E307" s="665"/>
      <c r="F307" s="798"/>
      <c r="G307" s="665"/>
      <c r="H307" s="665"/>
      <c r="I307" s="665"/>
      <c r="J307" s="666">
        <f t="shared" si="90"/>
        <v>0</v>
      </c>
      <c r="K307" s="667"/>
      <c r="L307" s="655"/>
      <c r="M307" s="655"/>
      <c r="N307" s="655">
        <f>AE307-AL307</f>
        <v>0</v>
      </c>
      <c r="O307" s="655"/>
      <c r="P307" s="655"/>
      <c r="Q307" s="655"/>
      <c r="R307" s="655"/>
      <c r="S307" s="655"/>
      <c r="T307" s="655"/>
      <c r="U307" s="837"/>
      <c r="V307" s="665"/>
      <c r="W307" s="665"/>
      <c r="X307" s="665"/>
      <c r="Y307" s="665"/>
      <c r="Z307" s="665"/>
      <c r="AA307" s="665">
        <f t="shared" si="86"/>
        <v>0</v>
      </c>
      <c r="AB307" s="667"/>
      <c r="AC307" s="1097"/>
      <c r="AD307" s="655"/>
      <c r="AE307" s="655">
        <v>15000</v>
      </c>
      <c r="AF307" s="655"/>
      <c r="AG307" s="655"/>
      <c r="AH307" s="655"/>
      <c r="AI307" s="655"/>
      <c r="AJ307" s="655"/>
      <c r="AK307" s="687"/>
      <c r="AL307" s="669">
        <v>15000</v>
      </c>
      <c r="AM307" s="791">
        <f t="shared" si="92"/>
        <v>0</v>
      </c>
      <c r="AN307" s="528" t="s">
        <v>486</v>
      </c>
    </row>
    <row r="308" spans="1:40" s="39" customFormat="1" ht="21" customHeight="1" thickBot="1" x14ac:dyDescent="0.4">
      <c r="A308" s="850" t="s">
        <v>80</v>
      </c>
      <c r="B308" s="846">
        <v>3346</v>
      </c>
      <c r="C308" s="847">
        <v>45732</v>
      </c>
      <c r="D308" s="849">
        <v>45746</v>
      </c>
      <c r="E308" s="665"/>
      <c r="F308" s="798">
        <f>W308-AL308</f>
        <v>0</v>
      </c>
      <c r="G308" s="665"/>
      <c r="H308" s="665"/>
      <c r="I308" s="665"/>
      <c r="J308" s="666">
        <f t="shared" si="90"/>
        <v>0</v>
      </c>
      <c r="K308" s="667"/>
      <c r="L308" s="655"/>
      <c r="M308" s="655"/>
      <c r="N308" s="655"/>
      <c r="O308" s="655"/>
      <c r="P308" s="655"/>
      <c r="Q308" s="655"/>
      <c r="R308" s="655"/>
      <c r="S308" s="655"/>
      <c r="T308" s="655"/>
      <c r="U308" s="837"/>
      <c r="V308" s="665"/>
      <c r="W308" s="665">
        <v>42600</v>
      </c>
      <c r="X308" s="665"/>
      <c r="Y308" s="665"/>
      <c r="Z308" s="665"/>
      <c r="AA308" s="665">
        <f t="shared" si="86"/>
        <v>42600</v>
      </c>
      <c r="AB308" s="667"/>
      <c r="AC308" s="1097"/>
      <c r="AD308" s="655"/>
      <c r="AE308" s="655"/>
      <c r="AF308" s="655"/>
      <c r="AG308" s="655"/>
      <c r="AH308" s="655"/>
      <c r="AI308" s="655"/>
      <c r="AJ308" s="655"/>
      <c r="AK308" s="687"/>
      <c r="AL308" s="669">
        <f>18420+24180</f>
        <v>42600</v>
      </c>
      <c r="AM308" s="791">
        <f t="shared" si="92"/>
        <v>0</v>
      </c>
      <c r="AN308" s="825" t="s">
        <v>509</v>
      </c>
    </row>
    <row r="309" spans="1:40" s="39" customFormat="1" ht="21.75" thickBot="1" x14ac:dyDescent="0.4">
      <c r="A309" s="850" t="s">
        <v>80</v>
      </c>
      <c r="B309" s="846">
        <v>3346</v>
      </c>
      <c r="C309" s="847">
        <v>45732</v>
      </c>
      <c r="D309" s="849">
        <v>45746</v>
      </c>
      <c r="E309" s="665"/>
      <c r="F309" s="798"/>
      <c r="G309" s="798">
        <f>X309-AL309</f>
        <v>0</v>
      </c>
      <c r="H309" s="665"/>
      <c r="I309" s="665"/>
      <c r="J309" s="666">
        <f t="shared" si="90"/>
        <v>0</v>
      </c>
      <c r="K309" s="667"/>
      <c r="L309" s="655"/>
      <c r="M309" s="655"/>
      <c r="N309" s="655"/>
      <c r="O309" s="655"/>
      <c r="P309" s="655"/>
      <c r="Q309" s="655"/>
      <c r="R309" s="655"/>
      <c r="S309" s="655"/>
      <c r="T309" s="655"/>
      <c r="U309" s="837"/>
      <c r="V309" s="665"/>
      <c r="W309" s="665"/>
      <c r="X309" s="665">
        <v>13200</v>
      </c>
      <c r="Y309" s="665"/>
      <c r="Z309" s="665"/>
      <c r="AA309" s="665">
        <f t="shared" si="86"/>
        <v>13200</v>
      </c>
      <c r="AB309" s="667"/>
      <c r="AC309" s="1097"/>
      <c r="AD309" s="655"/>
      <c r="AE309" s="655"/>
      <c r="AF309" s="655"/>
      <c r="AG309" s="655"/>
      <c r="AH309" s="655"/>
      <c r="AI309" s="655"/>
      <c r="AJ309" s="655"/>
      <c r="AK309" s="687"/>
      <c r="AL309" s="669">
        <v>13200</v>
      </c>
      <c r="AM309" s="791">
        <f t="shared" si="92"/>
        <v>0</v>
      </c>
      <c r="AN309" s="825" t="s">
        <v>510</v>
      </c>
    </row>
    <row r="310" spans="1:40" s="39" customFormat="1" ht="21.75" thickBot="1" x14ac:dyDescent="0.4">
      <c r="A310" s="850" t="s">
        <v>80</v>
      </c>
      <c r="B310" s="846">
        <v>3346</v>
      </c>
      <c r="C310" s="847">
        <v>45732</v>
      </c>
      <c r="D310" s="849">
        <v>45746</v>
      </c>
      <c r="E310" s="665"/>
      <c r="F310" s="798"/>
      <c r="G310" s="665"/>
      <c r="H310" s="798">
        <f>Y310-AL310</f>
        <v>0</v>
      </c>
      <c r="I310" s="665"/>
      <c r="J310" s="666">
        <f t="shared" si="90"/>
        <v>0</v>
      </c>
      <c r="K310" s="667"/>
      <c r="L310" s="655"/>
      <c r="M310" s="655"/>
      <c r="N310" s="655"/>
      <c r="O310" s="655"/>
      <c r="P310" s="655"/>
      <c r="Q310" s="655"/>
      <c r="R310" s="655"/>
      <c r="S310" s="655"/>
      <c r="T310" s="655"/>
      <c r="U310" s="837"/>
      <c r="V310" s="665"/>
      <c r="W310" s="665"/>
      <c r="X310" s="665"/>
      <c r="Y310" s="665">
        <v>19050</v>
      </c>
      <c r="Z310" s="665"/>
      <c r="AA310" s="665">
        <f t="shared" si="86"/>
        <v>19050</v>
      </c>
      <c r="AB310" s="667"/>
      <c r="AC310" s="1097"/>
      <c r="AD310" s="655"/>
      <c r="AE310" s="655"/>
      <c r="AF310" s="655"/>
      <c r="AG310" s="655"/>
      <c r="AH310" s="655"/>
      <c r="AI310" s="655"/>
      <c r="AJ310" s="655"/>
      <c r="AK310" s="687"/>
      <c r="AL310" s="669">
        <v>19050</v>
      </c>
      <c r="AM310" s="791">
        <f t="shared" si="92"/>
        <v>0</v>
      </c>
      <c r="AN310" s="825" t="s">
        <v>484</v>
      </c>
    </row>
    <row r="311" spans="1:40" s="39" customFormat="1" ht="21.75" thickBot="1" x14ac:dyDescent="0.4">
      <c r="A311" s="377" t="s">
        <v>80</v>
      </c>
      <c r="B311" s="378">
        <v>3346</v>
      </c>
      <c r="C311" s="423">
        <v>45732</v>
      </c>
      <c r="D311" s="424">
        <v>45746</v>
      </c>
      <c r="E311" s="355"/>
      <c r="F311" s="803"/>
      <c r="G311" s="355"/>
      <c r="H311" s="355"/>
      <c r="I311" s="803">
        <f>Z311-AL311</f>
        <v>120</v>
      </c>
      <c r="J311" s="351">
        <f t="shared" si="90"/>
        <v>120</v>
      </c>
      <c r="K311" s="788"/>
      <c r="L311" s="352"/>
      <c r="M311" s="352"/>
      <c r="N311" s="352"/>
      <c r="O311" s="352"/>
      <c r="P311" s="352"/>
      <c r="Q311" s="352"/>
      <c r="R311" s="352"/>
      <c r="S311" s="352"/>
      <c r="T311" s="352"/>
      <c r="U311" s="837"/>
      <c r="V311" s="356"/>
      <c r="W311" s="356"/>
      <c r="X311" s="356"/>
      <c r="Y311" s="356"/>
      <c r="Z311" s="356">
        <v>52890</v>
      </c>
      <c r="AA311" s="353">
        <f t="shared" si="86"/>
        <v>52890</v>
      </c>
      <c r="AB311" s="358"/>
      <c r="AC311" s="1167"/>
      <c r="AD311" s="354"/>
      <c r="AE311" s="354"/>
      <c r="AF311" s="354"/>
      <c r="AG311" s="354"/>
      <c r="AH311" s="354"/>
      <c r="AI311" s="354"/>
      <c r="AJ311" s="354"/>
      <c r="AK311" s="1031"/>
      <c r="AL311" s="436">
        <v>52770</v>
      </c>
      <c r="AM311" s="390">
        <f t="shared" si="92"/>
        <v>120</v>
      </c>
      <c r="AN311" s="528" t="s">
        <v>485</v>
      </c>
    </row>
    <row r="312" spans="1:40" s="379" customFormat="1" ht="21.75" thickBot="1" x14ac:dyDescent="0.4">
      <c r="A312" s="850" t="s">
        <v>80</v>
      </c>
      <c r="B312" s="851">
        <v>3348</v>
      </c>
      <c r="C312" s="903" t="s">
        <v>469</v>
      </c>
      <c r="D312" s="863" t="s">
        <v>470</v>
      </c>
      <c r="E312" s="665"/>
      <c r="F312" s="798"/>
      <c r="G312" s="798"/>
      <c r="H312" s="798"/>
      <c r="I312" s="665"/>
      <c r="J312" s="666"/>
      <c r="K312" s="667">
        <f>AB312-AL312</f>
        <v>0</v>
      </c>
      <c r="L312" s="655"/>
      <c r="M312" s="655"/>
      <c r="N312" s="655"/>
      <c r="O312" s="655"/>
      <c r="P312" s="655"/>
      <c r="Q312" s="655"/>
      <c r="R312" s="655"/>
      <c r="S312" s="655"/>
      <c r="T312" s="655"/>
      <c r="U312" s="837"/>
      <c r="V312" s="665"/>
      <c r="W312" s="665"/>
      <c r="X312" s="665"/>
      <c r="Y312" s="665"/>
      <c r="Z312" s="686"/>
      <c r="AA312" s="665">
        <f t="shared" si="86"/>
        <v>0</v>
      </c>
      <c r="AB312" s="667">
        <v>863000</v>
      </c>
      <c r="AC312" s="1097"/>
      <c r="AD312" s="655"/>
      <c r="AE312" s="655"/>
      <c r="AF312" s="655"/>
      <c r="AG312" s="655"/>
      <c r="AH312" s="655"/>
      <c r="AI312" s="655"/>
      <c r="AJ312" s="655"/>
      <c r="AK312" s="687"/>
      <c r="AL312" s="669">
        <v>863000</v>
      </c>
      <c r="AM312" s="669">
        <f t="shared" si="92"/>
        <v>0</v>
      </c>
      <c r="AN312" s="852" t="s">
        <v>488</v>
      </c>
    </row>
    <row r="313" spans="1:40" s="379" customFormat="1" ht="21.75" thickBot="1" x14ac:dyDescent="0.4">
      <c r="A313" s="850" t="s">
        <v>80</v>
      </c>
      <c r="B313" s="851">
        <v>3348</v>
      </c>
      <c r="C313" s="903" t="s">
        <v>469</v>
      </c>
      <c r="D313" s="863" t="s">
        <v>470</v>
      </c>
      <c r="E313" s="665"/>
      <c r="F313" s="798"/>
      <c r="G313" s="798"/>
      <c r="H313" s="798"/>
      <c r="I313" s="665"/>
      <c r="J313" s="666"/>
      <c r="K313" s="667">
        <f>AB313-AL313</f>
        <v>0</v>
      </c>
      <c r="L313" s="655"/>
      <c r="M313" s="655"/>
      <c r="N313" s="655"/>
      <c r="O313" s="655"/>
      <c r="P313" s="655"/>
      <c r="Q313" s="655"/>
      <c r="R313" s="655"/>
      <c r="S313" s="655"/>
      <c r="T313" s="655"/>
      <c r="U313" s="837"/>
      <c r="V313" s="665"/>
      <c r="W313" s="665"/>
      <c r="X313" s="665"/>
      <c r="Y313" s="665"/>
      <c r="Z313" s="686"/>
      <c r="AA313" s="665">
        <f t="shared" si="86"/>
        <v>0</v>
      </c>
      <c r="AB313" s="667">
        <v>1000000</v>
      </c>
      <c r="AC313" s="655"/>
      <c r="AD313" s="655"/>
      <c r="AE313" s="655"/>
      <c r="AF313" s="655"/>
      <c r="AG313" s="655"/>
      <c r="AH313" s="655"/>
      <c r="AI313" s="655"/>
      <c r="AJ313" s="655"/>
      <c r="AK313" s="687"/>
      <c r="AL313" s="669">
        <v>1000000</v>
      </c>
      <c r="AM313" s="669">
        <f>(V313+W313+X313+Y313+Z313+AB313+AC313+AD313+AE313+AF313+AG313+AH313+AI313+AJ313+AK313)-AL313</f>
        <v>0</v>
      </c>
      <c r="AN313" s="852" t="s">
        <v>500</v>
      </c>
    </row>
    <row r="314" spans="1:40" s="379" customFormat="1" ht="21.75" thickBot="1" x14ac:dyDescent="0.4">
      <c r="A314" s="845" t="s">
        <v>80</v>
      </c>
      <c r="B314" s="846">
        <v>3354</v>
      </c>
      <c r="C314" s="903" t="s">
        <v>479</v>
      </c>
      <c r="D314" s="863" t="s">
        <v>376</v>
      </c>
      <c r="E314" s="665"/>
      <c r="F314" s="798"/>
      <c r="G314" s="798"/>
      <c r="H314" s="798"/>
      <c r="I314" s="665"/>
      <c r="J314" s="666"/>
      <c r="K314" s="667"/>
      <c r="L314" s="655"/>
      <c r="M314" s="1095">
        <f>AD314-AL314</f>
        <v>0</v>
      </c>
      <c r="N314" s="655"/>
      <c r="O314" s="655"/>
      <c r="P314" s="655"/>
      <c r="Q314" s="655"/>
      <c r="R314" s="655"/>
      <c r="S314" s="655"/>
      <c r="T314" s="655"/>
      <c r="U314" s="837"/>
      <c r="V314" s="665"/>
      <c r="W314" s="665"/>
      <c r="X314" s="665"/>
      <c r="Y314" s="665"/>
      <c r="Z314" s="686"/>
      <c r="AA314" s="665">
        <f t="shared" si="86"/>
        <v>0</v>
      </c>
      <c r="AB314" s="667"/>
      <c r="AC314" s="655"/>
      <c r="AD314" s="655">
        <v>20000</v>
      </c>
      <c r="AE314" s="655"/>
      <c r="AF314" s="655"/>
      <c r="AG314" s="655"/>
      <c r="AH314" s="655"/>
      <c r="AI314" s="655"/>
      <c r="AJ314" s="655"/>
      <c r="AK314" s="687"/>
      <c r="AL314" s="669">
        <v>20000</v>
      </c>
      <c r="AM314" s="670">
        <f t="shared" ref="AM314:AM331" si="93">(V314+W314+X314+Y314+Z314+AB314+AC314+AD314+AE314+AF314+AG314+AH314+AI314+AJ314+AK314)-AL314</f>
        <v>0</v>
      </c>
      <c r="AN314" s="1166" t="s">
        <v>531</v>
      </c>
    </row>
    <row r="315" spans="1:40" s="379" customFormat="1" ht="21.75" thickBot="1" x14ac:dyDescent="0.4">
      <c r="A315" s="377" t="s">
        <v>80</v>
      </c>
      <c r="B315" s="378">
        <v>3389</v>
      </c>
      <c r="C315" s="888" t="s">
        <v>649</v>
      </c>
      <c r="D315" s="889" t="s">
        <v>653</v>
      </c>
      <c r="E315" s="355">
        <f>V315-AL315</f>
        <v>0</v>
      </c>
      <c r="F315" s="803">
        <f>W315-AL315</f>
        <v>90000</v>
      </c>
      <c r="G315" s="803">
        <f>X315-AL315</f>
        <v>0</v>
      </c>
      <c r="H315" s="803">
        <f>Y315-AL315</f>
        <v>0</v>
      </c>
      <c r="I315" s="355">
        <f>Z315-AL315</f>
        <v>0</v>
      </c>
      <c r="J315" s="351">
        <f>SUM(F315:I315)</f>
        <v>90000</v>
      </c>
      <c r="K315" s="367">
        <f>AB315-AL315</f>
        <v>0</v>
      </c>
      <c r="L315" s="486"/>
      <c r="M315" s="1088"/>
      <c r="N315" s="486"/>
      <c r="O315" s="486"/>
      <c r="P315" s="486"/>
      <c r="Q315" s="486"/>
      <c r="R315" s="486"/>
      <c r="S315" s="486"/>
      <c r="T315" s="486"/>
      <c r="U315" s="837"/>
      <c r="V315" s="356"/>
      <c r="W315" s="356">
        <v>90000</v>
      </c>
      <c r="X315" s="356"/>
      <c r="Y315" s="356"/>
      <c r="Z315" s="387"/>
      <c r="AA315" s="356">
        <f t="shared" si="86"/>
        <v>90000</v>
      </c>
      <c r="AB315" s="358"/>
      <c r="AC315" s="388"/>
      <c r="AD315" s="388"/>
      <c r="AE315" s="388"/>
      <c r="AF315" s="388"/>
      <c r="AG315" s="388"/>
      <c r="AH315" s="388"/>
      <c r="AI315" s="388"/>
      <c r="AJ315" s="388"/>
      <c r="AK315" s="438"/>
      <c r="AL315" s="436"/>
      <c r="AM315" s="390">
        <f t="shared" si="93"/>
        <v>90000</v>
      </c>
      <c r="AN315" s="1165"/>
    </row>
    <row r="316" spans="1:40" s="379" customFormat="1" ht="21.75" thickBot="1" x14ac:dyDescent="0.4">
      <c r="A316" s="377" t="s">
        <v>80</v>
      </c>
      <c r="B316" s="378">
        <v>3383</v>
      </c>
      <c r="C316" s="888" t="s">
        <v>652</v>
      </c>
      <c r="D316" s="889" t="s">
        <v>654</v>
      </c>
      <c r="E316" s="355"/>
      <c r="F316" s="803">
        <f t="shared" ref="F316:F324" si="94">W316-AL316</f>
        <v>12180</v>
      </c>
      <c r="G316" s="803"/>
      <c r="H316" s="803"/>
      <c r="I316" s="355"/>
      <c r="J316" s="351">
        <f t="shared" ref="J316:J324" si="95">SUM(F316:I316)</f>
        <v>12180</v>
      </c>
      <c r="K316" s="367"/>
      <c r="L316" s="486"/>
      <c r="M316" s="1088"/>
      <c r="N316" s="486"/>
      <c r="O316" s="486"/>
      <c r="P316" s="486"/>
      <c r="Q316" s="486"/>
      <c r="R316" s="486"/>
      <c r="S316" s="486"/>
      <c r="T316" s="486"/>
      <c r="U316" s="837"/>
      <c r="V316" s="356"/>
      <c r="W316" s="356">
        <v>19380</v>
      </c>
      <c r="X316" s="356"/>
      <c r="Y316" s="356"/>
      <c r="Z316" s="387"/>
      <c r="AA316" s="356">
        <f t="shared" si="86"/>
        <v>19380</v>
      </c>
      <c r="AB316" s="358"/>
      <c r="AC316" s="388"/>
      <c r="AD316" s="388"/>
      <c r="AE316" s="388"/>
      <c r="AF316" s="388"/>
      <c r="AG316" s="388"/>
      <c r="AH316" s="388"/>
      <c r="AI316" s="388"/>
      <c r="AJ316" s="388"/>
      <c r="AK316" s="438"/>
      <c r="AL316" s="436">
        <v>7200</v>
      </c>
      <c r="AM316" s="390">
        <f t="shared" si="93"/>
        <v>12180</v>
      </c>
      <c r="AN316" s="1165" t="s">
        <v>692</v>
      </c>
    </row>
    <row r="317" spans="1:40" s="379" customFormat="1" ht="21.75" thickBot="1" x14ac:dyDescent="0.4">
      <c r="A317" s="377" t="s">
        <v>80</v>
      </c>
      <c r="B317" s="378">
        <v>3389</v>
      </c>
      <c r="C317" s="888" t="s">
        <v>649</v>
      </c>
      <c r="D317" s="889" t="s">
        <v>653</v>
      </c>
      <c r="E317" s="355">
        <f t="shared" ref="E317:E324" si="96">V317-AL317</f>
        <v>0</v>
      </c>
      <c r="F317" s="803">
        <f t="shared" si="94"/>
        <v>0</v>
      </c>
      <c r="G317" s="803">
        <f t="shared" ref="G317:G324" si="97">X317-AL317</f>
        <v>90000</v>
      </c>
      <c r="H317" s="803">
        <f t="shared" ref="H317:H324" si="98">Y317-AL317</f>
        <v>0</v>
      </c>
      <c r="I317" s="355">
        <f t="shared" ref="I317:I324" si="99">Z317-AL317</f>
        <v>0</v>
      </c>
      <c r="J317" s="351">
        <f t="shared" si="95"/>
        <v>90000</v>
      </c>
      <c r="K317" s="367">
        <f t="shared" ref="K317:K324" si="100">AB317-AL317</f>
        <v>0</v>
      </c>
      <c r="L317" s="486"/>
      <c r="M317" s="1088"/>
      <c r="N317" s="486"/>
      <c r="O317" s="486"/>
      <c r="P317" s="486"/>
      <c r="Q317" s="486"/>
      <c r="R317" s="486"/>
      <c r="S317" s="486"/>
      <c r="T317" s="486"/>
      <c r="U317" s="837"/>
      <c r="V317" s="356"/>
      <c r="W317" s="356"/>
      <c r="X317" s="356">
        <v>90000</v>
      </c>
      <c r="Y317" s="356"/>
      <c r="Z317" s="387"/>
      <c r="AA317" s="356">
        <f t="shared" si="86"/>
        <v>90000</v>
      </c>
      <c r="AB317" s="358"/>
      <c r="AC317" s="388"/>
      <c r="AD317" s="388"/>
      <c r="AE317" s="388"/>
      <c r="AF317" s="388"/>
      <c r="AG317" s="388"/>
      <c r="AH317" s="388"/>
      <c r="AI317" s="388"/>
      <c r="AJ317" s="388"/>
      <c r="AK317" s="438"/>
      <c r="AL317" s="436"/>
      <c r="AM317" s="390">
        <f t="shared" si="93"/>
        <v>90000</v>
      </c>
      <c r="AN317" s="1165"/>
    </row>
    <row r="318" spans="1:40" s="379" customFormat="1" ht="21.75" thickBot="1" x14ac:dyDescent="0.4">
      <c r="A318" s="377" t="s">
        <v>80</v>
      </c>
      <c r="B318" s="378">
        <v>3390</v>
      </c>
      <c r="C318" s="888" t="s">
        <v>649</v>
      </c>
      <c r="D318" s="889" t="s">
        <v>653</v>
      </c>
      <c r="E318" s="355">
        <f t="shared" si="96"/>
        <v>0</v>
      </c>
      <c r="F318" s="803">
        <f t="shared" si="94"/>
        <v>0</v>
      </c>
      <c r="G318" s="803">
        <f t="shared" si="97"/>
        <v>0</v>
      </c>
      <c r="H318" s="803">
        <f t="shared" si="98"/>
        <v>60000</v>
      </c>
      <c r="I318" s="355">
        <f t="shared" si="99"/>
        <v>0</v>
      </c>
      <c r="J318" s="351">
        <f t="shared" si="95"/>
        <v>60000</v>
      </c>
      <c r="K318" s="367">
        <f t="shared" si="100"/>
        <v>0</v>
      </c>
      <c r="L318" s="486"/>
      <c r="M318" s="1088"/>
      <c r="N318" s="486"/>
      <c r="O318" s="486"/>
      <c r="P318" s="486"/>
      <c r="Q318" s="486"/>
      <c r="R318" s="486"/>
      <c r="S318" s="486"/>
      <c r="T318" s="486"/>
      <c r="U318" s="837"/>
      <c r="V318" s="356"/>
      <c r="W318" s="356"/>
      <c r="X318" s="356"/>
      <c r="Y318" s="356">
        <v>60000</v>
      </c>
      <c r="Z318" s="387"/>
      <c r="AA318" s="356">
        <f t="shared" si="86"/>
        <v>60000</v>
      </c>
      <c r="AB318" s="358"/>
      <c r="AC318" s="388"/>
      <c r="AD318" s="388"/>
      <c r="AE318" s="388"/>
      <c r="AF318" s="388"/>
      <c r="AG318" s="388"/>
      <c r="AH318" s="388"/>
      <c r="AI318" s="388"/>
      <c r="AJ318" s="388"/>
      <c r="AK318" s="438"/>
      <c r="AL318" s="436"/>
      <c r="AM318" s="390">
        <f t="shared" si="93"/>
        <v>60000</v>
      </c>
      <c r="AN318" s="1165"/>
    </row>
    <row r="319" spans="1:40" s="379" customFormat="1" ht="21.75" thickBot="1" x14ac:dyDescent="0.4">
      <c r="A319" s="377" t="s">
        <v>80</v>
      </c>
      <c r="B319" s="378">
        <v>3383</v>
      </c>
      <c r="C319" s="888" t="s">
        <v>652</v>
      </c>
      <c r="D319" s="889" t="s">
        <v>654</v>
      </c>
      <c r="E319" s="355"/>
      <c r="F319" s="803"/>
      <c r="G319" s="803"/>
      <c r="H319" s="803">
        <f>Y319-AL319</f>
        <v>22800</v>
      </c>
      <c r="I319" s="355"/>
      <c r="J319" s="351">
        <f t="shared" si="95"/>
        <v>22800</v>
      </c>
      <c r="K319" s="367"/>
      <c r="L319" s="486"/>
      <c r="M319" s="1088"/>
      <c r="N319" s="486"/>
      <c r="O319" s="486"/>
      <c r="P319" s="486"/>
      <c r="Q319" s="486"/>
      <c r="R319" s="486"/>
      <c r="S319" s="486"/>
      <c r="T319" s="486"/>
      <c r="U319" s="837"/>
      <c r="V319" s="356"/>
      <c r="W319" s="356"/>
      <c r="X319" s="356"/>
      <c r="Y319" s="356">
        <v>30000</v>
      </c>
      <c r="Z319" s="387"/>
      <c r="AA319" s="356">
        <f t="shared" si="86"/>
        <v>30000</v>
      </c>
      <c r="AB319" s="358"/>
      <c r="AC319" s="388"/>
      <c r="AD319" s="388"/>
      <c r="AE319" s="388"/>
      <c r="AF319" s="388"/>
      <c r="AG319" s="388"/>
      <c r="AH319" s="388"/>
      <c r="AI319" s="388"/>
      <c r="AJ319" s="388"/>
      <c r="AK319" s="438"/>
      <c r="AL319" s="436">
        <v>7200</v>
      </c>
      <c r="AM319" s="390">
        <f t="shared" si="93"/>
        <v>22800</v>
      </c>
      <c r="AN319" s="1165" t="s">
        <v>692</v>
      </c>
    </row>
    <row r="320" spans="1:40" s="379" customFormat="1" ht="21.75" thickBot="1" x14ac:dyDescent="0.4">
      <c r="A320" s="377" t="s">
        <v>80</v>
      </c>
      <c r="B320" s="378">
        <v>3391</v>
      </c>
      <c r="C320" s="888" t="s">
        <v>649</v>
      </c>
      <c r="D320" s="889" t="s">
        <v>653</v>
      </c>
      <c r="E320" s="355">
        <f t="shared" si="96"/>
        <v>0</v>
      </c>
      <c r="F320" s="803">
        <f t="shared" si="94"/>
        <v>0</v>
      </c>
      <c r="G320" s="803">
        <f t="shared" si="97"/>
        <v>0</v>
      </c>
      <c r="H320" s="803">
        <f t="shared" si="98"/>
        <v>0</v>
      </c>
      <c r="I320" s="355">
        <f t="shared" si="99"/>
        <v>60000</v>
      </c>
      <c r="J320" s="351">
        <f t="shared" si="95"/>
        <v>60000</v>
      </c>
      <c r="K320" s="367">
        <f t="shared" si="100"/>
        <v>0</v>
      </c>
      <c r="L320" s="486"/>
      <c r="M320" s="1088"/>
      <c r="N320" s="486"/>
      <c r="O320" s="486"/>
      <c r="P320" s="486"/>
      <c r="Q320" s="486"/>
      <c r="R320" s="486"/>
      <c r="S320" s="486"/>
      <c r="T320" s="486"/>
      <c r="U320" s="837"/>
      <c r="V320" s="356"/>
      <c r="W320" s="356"/>
      <c r="X320" s="356"/>
      <c r="Y320" s="356"/>
      <c r="Z320" s="387">
        <v>60000</v>
      </c>
      <c r="AA320" s="356">
        <f t="shared" si="86"/>
        <v>60000</v>
      </c>
      <c r="AB320" s="358"/>
      <c r="AC320" s="388"/>
      <c r="AD320" s="388"/>
      <c r="AE320" s="388"/>
      <c r="AF320" s="388"/>
      <c r="AG320" s="388"/>
      <c r="AH320" s="388"/>
      <c r="AI320" s="388"/>
      <c r="AJ320" s="388"/>
      <c r="AK320" s="438"/>
      <c r="AL320" s="436"/>
      <c r="AM320" s="390">
        <f t="shared" si="93"/>
        <v>60000</v>
      </c>
      <c r="AN320" s="1165"/>
    </row>
    <row r="321" spans="1:40" s="379" customFormat="1" ht="21.75" thickBot="1" x14ac:dyDescent="0.4">
      <c r="A321" s="377" t="s">
        <v>80</v>
      </c>
      <c r="B321" s="378">
        <v>3383</v>
      </c>
      <c r="C321" s="888" t="s">
        <v>652</v>
      </c>
      <c r="D321" s="889" t="s">
        <v>654</v>
      </c>
      <c r="E321" s="355"/>
      <c r="F321" s="803"/>
      <c r="G321" s="803"/>
      <c r="H321" s="803"/>
      <c r="I321" s="355">
        <f t="shared" si="99"/>
        <v>8400</v>
      </c>
      <c r="J321" s="351">
        <f t="shared" si="95"/>
        <v>8400</v>
      </c>
      <c r="K321" s="367"/>
      <c r="L321" s="486"/>
      <c r="M321" s="1088"/>
      <c r="N321" s="486"/>
      <c r="O321" s="486"/>
      <c r="P321" s="486"/>
      <c r="Q321" s="486"/>
      <c r="R321" s="486"/>
      <c r="S321" s="486"/>
      <c r="T321" s="486"/>
      <c r="U321" s="837"/>
      <c r="V321" s="356"/>
      <c r="W321" s="356"/>
      <c r="X321" s="356"/>
      <c r="Y321" s="356"/>
      <c r="Z321" s="387">
        <v>30000</v>
      </c>
      <c r="AA321" s="356">
        <f t="shared" si="86"/>
        <v>30000</v>
      </c>
      <c r="AB321" s="358"/>
      <c r="AC321" s="388"/>
      <c r="AD321" s="388"/>
      <c r="AE321" s="388"/>
      <c r="AF321" s="388"/>
      <c r="AG321" s="388"/>
      <c r="AH321" s="388"/>
      <c r="AI321" s="388"/>
      <c r="AJ321" s="388"/>
      <c r="AK321" s="438"/>
      <c r="AL321" s="436">
        <v>21600</v>
      </c>
      <c r="AM321" s="390">
        <f t="shared" si="93"/>
        <v>8400</v>
      </c>
      <c r="AN321" s="1165" t="s">
        <v>693</v>
      </c>
    </row>
    <row r="322" spans="1:40" s="379" customFormat="1" ht="21.75" thickBot="1" x14ac:dyDescent="0.4">
      <c r="A322" s="377" t="s">
        <v>80</v>
      </c>
      <c r="B322" s="378">
        <v>3382</v>
      </c>
      <c r="C322" s="888" t="s">
        <v>651</v>
      </c>
      <c r="D322" s="889" t="s">
        <v>654</v>
      </c>
      <c r="E322" s="355">
        <f t="shared" si="96"/>
        <v>200000</v>
      </c>
      <c r="F322" s="803"/>
      <c r="G322" s="803"/>
      <c r="H322" s="803"/>
      <c r="I322" s="355"/>
      <c r="J322" s="351">
        <f t="shared" si="95"/>
        <v>0</v>
      </c>
      <c r="K322" s="367"/>
      <c r="L322" s="486"/>
      <c r="M322" s="1088"/>
      <c r="N322" s="486"/>
      <c r="O322" s="486"/>
      <c r="P322" s="486"/>
      <c r="Q322" s="486"/>
      <c r="R322" s="486"/>
      <c r="S322" s="486"/>
      <c r="T322" s="486"/>
      <c r="U322" s="837"/>
      <c r="V322" s="356">
        <v>237500</v>
      </c>
      <c r="W322" s="356"/>
      <c r="X322" s="356"/>
      <c r="Y322" s="356"/>
      <c r="Z322" s="387"/>
      <c r="AA322" s="356">
        <f t="shared" si="86"/>
        <v>0</v>
      </c>
      <c r="AB322" s="358"/>
      <c r="AC322" s="388"/>
      <c r="AD322" s="388"/>
      <c r="AE322" s="388"/>
      <c r="AF322" s="388"/>
      <c r="AG322" s="388"/>
      <c r="AH322" s="388"/>
      <c r="AI322" s="388"/>
      <c r="AJ322" s="388"/>
      <c r="AK322" s="438"/>
      <c r="AL322" s="436">
        <v>37500</v>
      </c>
      <c r="AM322" s="390">
        <f t="shared" si="93"/>
        <v>200000</v>
      </c>
      <c r="AN322" s="1165" t="s">
        <v>694</v>
      </c>
    </row>
    <row r="323" spans="1:40" s="379" customFormat="1" ht="21.75" thickBot="1" x14ac:dyDescent="0.4">
      <c r="A323" s="698" t="s">
        <v>80</v>
      </c>
      <c r="B323" s="699">
        <v>3384</v>
      </c>
      <c r="C323" s="780" t="s">
        <v>652</v>
      </c>
      <c r="D323" s="781">
        <v>45991</v>
      </c>
      <c r="E323" s="703"/>
      <c r="F323" s="801"/>
      <c r="G323" s="801"/>
      <c r="H323" s="801"/>
      <c r="I323" s="703"/>
      <c r="J323" s="704">
        <f t="shared" si="95"/>
        <v>0</v>
      </c>
      <c r="K323" s="705">
        <f t="shared" si="100"/>
        <v>0</v>
      </c>
      <c r="L323" s="782"/>
      <c r="M323" s="1197"/>
      <c r="N323" s="782"/>
      <c r="O323" s="782"/>
      <c r="P323" s="782"/>
      <c r="Q323" s="782"/>
      <c r="R323" s="782"/>
      <c r="S323" s="782"/>
      <c r="T323" s="782"/>
      <c r="U323" s="1198"/>
      <c r="V323" s="703"/>
      <c r="W323" s="703"/>
      <c r="X323" s="703"/>
      <c r="Y323" s="703"/>
      <c r="Z323" s="783"/>
      <c r="AA323" s="703">
        <f t="shared" si="86"/>
        <v>0</v>
      </c>
      <c r="AB323" s="705">
        <v>500000</v>
      </c>
      <c r="AC323" s="782"/>
      <c r="AD323" s="782"/>
      <c r="AE323" s="782"/>
      <c r="AF323" s="782"/>
      <c r="AG323" s="782"/>
      <c r="AH323" s="782"/>
      <c r="AI323" s="782"/>
      <c r="AJ323" s="782"/>
      <c r="AK323" s="784"/>
      <c r="AL323" s="775">
        <v>500000</v>
      </c>
      <c r="AM323" s="708">
        <f t="shared" si="93"/>
        <v>0</v>
      </c>
      <c r="AN323" s="1199" t="s">
        <v>689</v>
      </c>
    </row>
    <row r="324" spans="1:40" s="379" customFormat="1" ht="21.75" thickBot="1" x14ac:dyDescent="0.4">
      <c r="A324" s="377" t="s">
        <v>80</v>
      </c>
      <c r="B324" s="378">
        <v>3383</v>
      </c>
      <c r="C324" s="888" t="s">
        <v>652</v>
      </c>
      <c r="D324" s="889" t="s">
        <v>654</v>
      </c>
      <c r="E324" s="355">
        <f t="shared" si="96"/>
        <v>0</v>
      </c>
      <c r="F324" s="803">
        <f t="shared" si="94"/>
        <v>0</v>
      </c>
      <c r="G324" s="803">
        <f t="shared" si="97"/>
        <v>0</v>
      </c>
      <c r="H324" s="803">
        <f t="shared" si="98"/>
        <v>0</v>
      </c>
      <c r="I324" s="355">
        <f t="shared" si="99"/>
        <v>0</v>
      </c>
      <c r="J324" s="351">
        <f t="shared" si="95"/>
        <v>0</v>
      </c>
      <c r="K324" s="367">
        <f t="shared" si="100"/>
        <v>400000</v>
      </c>
      <c r="L324" s="486"/>
      <c r="M324" s="1088"/>
      <c r="N324" s="486"/>
      <c r="O324" s="486"/>
      <c r="P324" s="486"/>
      <c r="Q324" s="486"/>
      <c r="R324" s="486"/>
      <c r="S324" s="486"/>
      <c r="T324" s="486"/>
      <c r="U324" s="837"/>
      <c r="V324" s="356"/>
      <c r="W324" s="356"/>
      <c r="X324" s="356"/>
      <c r="Y324" s="356"/>
      <c r="Z324" s="387"/>
      <c r="AA324" s="356">
        <f t="shared" si="86"/>
        <v>0</v>
      </c>
      <c r="AB324" s="358">
        <v>400000</v>
      </c>
      <c r="AC324" s="388"/>
      <c r="AD324" s="388"/>
      <c r="AE324" s="388"/>
      <c r="AF324" s="388"/>
      <c r="AG324" s="388"/>
      <c r="AH324" s="388"/>
      <c r="AI324" s="388"/>
      <c r="AJ324" s="388"/>
      <c r="AK324" s="438"/>
      <c r="AL324" s="436"/>
      <c r="AM324" s="390">
        <f t="shared" si="93"/>
        <v>400000</v>
      </c>
      <c r="AN324" s="1165"/>
    </row>
    <row r="325" spans="1:40" s="379" customFormat="1" ht="21.75" thickBot="1" x14ac:dyDescent="0.4">
      <c r="A325" s="377" t="s">
        <v>80</v>
      </c>
      <c r="B325" s="378">
        <v>3395</v>
      </c>
      <c r="C325" s="888" t="s">
        <v>659</v>
      </c>
      <c r="D325" s="889" t="s">
        <v>653</v>
      </c>
      <c r="E325" s="355"/>
      <c r="F325" s="803"/>
      <c r="G325" s="803"/>
      <c r="H325" s="803"/>
      <c r="I325" s="355"/>
      <c r="J325" s="351"/>
      <c r="K325" s="367"/>
      <c r="L325" s="486"/>
      <c r="M325" s="1088"/>
      <c r="N325" s="486">
        <f>AE325-AL325</f>
        <v>5000</v>
      </c>
      <c r="O325" s="486"/>
      <c r="P325" s="486"/>
      <c r="Q325" s="486"/>
      <c r="R325" s="486"/>
      <c r="S325" s="486"/>
      <c r="T325" s="486"/>
      <c r="U325" s="837"/>
      <c r="V325" s="356"/>
      <c r="W325" s="356"/>
      <c r="X325" s="356"/>
      <c r="Y325" s="356"/>
      <c r="Z325" s="387"/>
      <c r="AA325" s="356"/>
      <c r="AB325" s="358"/>
      <c r="AC325" s="388"/>
      <c r="AD325" s="388"/>
      <c r="AE325" s="388">
        <v>5000</v>
      </c>
      <c r="AF325" s="388"/>
      <c r="AG325" s="388"/>
      <c r="AH325" s="388"/>
      <c r="AI325" s="388"/>
      <c r="AJ325" s="388"/>
      <c r="AK325" s="438"/>
      <c r="AL325" s="436"/>
      <c r="AM325" s="390">
        <f t="shared" si="93"/>
        <v>5000</v>
      </c>
      <c r="AN325" s="1165"/>
    </row>
    <row r="326" spans="1:40" s="379" customFormat="1" ht="21.75" thickBot="1" x14ac:dyDescent="0.4">
      <c r="A326" s="377" t="s">
        <v>80</v>
      </c>
      <c r="B326" s="378">
        <v>3395</v>
      </c>
      <c r="C326" s="888" t="s">
        <v>659</v>
      </c>
      <c r="D326" s="889" t="s">
        <v>653</v>
      </c>
      <c r="E326" s="355"/>
      <c r="F326" s="803"/>
      <c r="G326" s="803"/>
      <c r="H326" s="803"/>
      <c r="I326" s="355"/>
      <c r="J326" s="351"/>
      <c r="K326" s="367"/>
      <c r="L326" s="486"/>
      <c r="M326" s="1088">
        <f>AD326-AL326</f>
        <v>5000</v>
      </c>
      <c r="N326" s="486"/>
      <c r="O326" s="486"/>
      <c r="P326" s="486"/>
      <c r="Q326" s="486"/>
      <c r="R326" s="486"/>
      <c r="S326" s="486"/>
      <c r="T326" s="486"/>
      <c r="U326" s="837"/>
      <c r="V326" s="356"/>
      <c r="W326" s="356"/>
      <c r="X326" s="356"/>
      <c r="Y326" s="356"/>
      <c r="Z326" s="387"/>
      <c r="AA326" s="356"/>
      <c r="AB326" s="358"/>
      <c r="AC326" s="388"/>
      <c r="AD326" s="388">
        <v>5000</v>
      </c>
      <c r="AE326" s="388"/>
      <c r="AF326" s="388"/>
      <c r="AG326" s="388"/>
      <c r="AH326" s="388"/>
      <c r="AI326" s="388"/>
      <c r="AJ326" s="388"/>
      <c r="AK326" s="438"/>
      <c r="AL326" s="436"/>
      <c r="AM326" s="390">
        <f t="shared" si="93"/>
        <v>5000</v>
      </c>
      <c r="AN326" s="1165"/>
    </row>
    <row r="327" spans="1:40" s="379" customFormat="1" ht="21.75" thickBot="1" x14ac:dyDescent="0.4">
      <c r="A327" s="377" t="s">
        <v>80</v>
      </c>
      <c r="B327" s="378">
        <v>3393</v>
      </c>
      <c r="C327" s="888" t="s">
        <v>659</v>
      </c>
      <c r="D327" s="889" t="s">
        <v>653</v>
      </c>
      <c r="E327" s="355"/>
      <c r="F327" s="803"/>
      <c r="G327" s="803"/>
      <c r="H327" s="803"/>
      <c r="I327" s="355"/>
      <c r="J327" s="351"/>
      <c r="K327" s="367">
        <f>AB327-AL327</f>
        <v>200000</v>
      </c>
      <c r="L327" s="486"/>
      <c r="M327" s="1088"/>
      <c r="N327" s="486"/>
      <c r="O327" s="486"/>
      <c r="P327" s="486"/>
      <c r="Q327" s="486"/>
      <c r="R327" s="486"/>
      <c r="S327" s="486"/>
      <c r="T327" s="486"/>
      <c r="U327" s="837"/>
      <c r="V327" s="356"/>
      <c r="W327" s="356"/>
      <c r="X327" s="356"/>
      <c r="Y327" s="356"/>
      <c r="Z327" s="387"/>
      <c r="AA327" s="356"/>
      <c r="AB327" s="358">
        <v>200000</v>
      </c>
      <c r="AC327" s="388"/>
      <c r="AD327" s="388"/>
      <c r="AE327" s="388"/>
      <c r="AF327" s="388"/>
      <c r="AG327" s="388"/>
      <c r="AH327" s="388"/>
      <c r="AI327" s="388"/>
      <c r="AJ327" s="388"/>
      <c r="AK327" s="438"/>
      <c r="AL327" s="436"/>
      <c r="AM327" s="390">
        <f t="shared" si="93"/>
        <v>200000</v>
      </c>
      <c r="AN327" s="1165"/>
    </row>
    <row r="328" spans="1:40" s="379" customFormat="1" ht="21.75" thickBot="1" x14ac:dyDescent="0.4">
      <c r="A328" s="377" t="s">
        <v>80</v>
      </c>
      <c r="B328" s="378">
        <v>3392</v>
      </c>
      <c r="C328" s="888" t="s">
        <v>659</v>
      </c>
      <c r="D328" s="889" t="s">
        <v>653</v>
      </c>
      <c r="E328" s="355"/>
      <c r="F328" s="803"/>
      <c r="G328" s="803"/>
      <c r="H328" s="803"/>
      <c r="I328" s="355"/>
      <c r="J328" s="351"/>
      <c r="K328" s="367"/>
      <c r="L328" s="486"/>
      <c r="M328" s="1088"/>
      <c r="N328" s="486"/>
      <c r="O328" s="486"/>
      <c r="P328" s="486">
        <f>AG328-AL328</f>
        <v>1500</v>
      </c>
      <c r="Q328" s="486"/>
      <c r="R328" s="486"/>
      <c r="S328" s="486"/>
      <c r="T328" s="486"/>
      <c r="U328" s="837"/>
      <c r="V328" s="356"/>
      <c r="W328" s="356"/>
      <c r="X328" s="356"/>
      <c r="Y328" s="356"/>
      <c r="Z328" s="387"/>
      <c r="AA328" s="356"/>
      <c r="AB328" s="358"/>
      <c r="AC328" s="388"/>
      <c r="AD328" s="388"/>
      <c r="AE328" s="388"/>
      <c r="AF328" s="388"/>
      <c r="AG328" s="388">
        <v>1500</v>
      </c>
      <c r="AH328" s="388"/>
      <c r="AI328" s="388"/>
      <c r="AJ328" s="388"/>
      <c r="AK328" s="438"/>
      <c r="AL328" s="436"/>
      <c r="AM328" s="390">
        <f t="shared" si="93"/>
        <v>1500</v>
      </c>
      <c r="AN328" s="1165"/>
    </row>
    <row r="329" spans="1:40" s="379" customFormat="1" ht="21.75" thickBot="1" x14ac:dyDescent="0.4">
      <c r="A329" s="377" t="s">
        <v>80</v>
      </c>
      <c r="B329" s="378">
        <v>3393</v>
      </c>
      <c r="C329" s="888" t="s">
        <v>659</v>
      </c>
      <c r="D329" s="889" t="s">
        <v>653</v>
      </c>
      <c r="E329" s="355"/>
      <c r="F329" s="803"/>
      <c r="G329" s="803"/>
      <c r="H329" s="803"/>
      <c r="I329" s="355"/>
      <c r="J329" s="351"/>
      <c r="K329" s="367"/>
      <c r="L329" s="486"/>
      <c r="M329" s="1088"/>
      <c r="N329" s="486"/>
      <c r="O329" s="486"/>
      <c r="P329" s="486"/>
      <c r="Q329" s="486">
        <f>AH329-AL329</f>
        <v>100000</v>
      </c>
      <c r="R329" s="486"/>
      <c r="S329" s="486"/>
      <c r="T329" s="486"/>
      <c r="U329" s="837"/>
      <c r="V329" s="356"/>
      <c r="W329" s="356"/>
      <c r="X329" s="356"/>
      <c r="Y329" s="356"/>
      <c r="Z329" s="387"/>
      <c r="AA329" s="356"/>
      <c r="AB329" s="358"/>
      <c r="AC329" s="388"/>
      <c r="AD329" s="388"/>
      <c r="AE329" s="388"/>
      <c r="AF329" s="388"/>
      <c r="AG329" s="388"/>
      <c r="AH329" s="388">
        <v>100000</v>
      </c>
      <c r="AI329" s="388"/>
      <c r="AJ329" s="388"/>
      <c r="AK329" s="438"/>
      <c r="AL329" s="436"/>
      <c r="AM329" s="390">
        <f t="shared" si="93"/>
        <v>100000</v>
      </c>
      <c r="AN329" s="1165"/>
    </row>
    <row r="330" spans="1:40" s="379" customFormat="1" ht="21.75" thickBot="1" x14ac:dyDescent="0.4">
      <c r="A330" s="377" t="s">
        <v>80</v>
      </c>
      <c r="B330" s="378">
        <v>3394</v>
      </c>
      <c r="C330" s="888" t="s">
        <v>659</v>
      </c>
      <c r="D330" s="889" t="s">
        <v>653</v>
      </c>
      <c r="E330" s="355"/>
      <c r="F330" s="803"/>
      <c r="G330" s="803"/>
      <c r="H330" s="803"/>
      <c r="I330" s="355"/>
      <c r="J330" s="351"/>
      <c r="K330" s="367"/>
      <c r="L330" s="486">
        <f>AC330-AL330</f>
        <v>100000</v>
      </c>
      <c r="M330" s="1088"/>
      <c r="N330" s="486"/>
      <c r="O330" s="486"/>
      <c r="P330" s="486"/>
      <c r="Q330" s="486"/>
      <c r="R330" s="486"/>
      <c r="S330" s="486"/>
      <c r="T330" s="486"/>
      <c r="U330" s="837"/>
      <c r="V330" s="356"/>
      <c r="W330" s="356"/>
      <c r="X330" s="356"/>
      <c r="Y330" s="356"/>
      <c r="Z330" s="387"/>
      <c r="AA330" s="356"/>
      <c r="AB330" s="1030"/>
      <c r="AC330" s="388">
        <v>100000</v>
      </c>
      <c r="AD330" s="388"/>
      <c r="AE330" s="388"/>
      <c r="AF330" s="388"/>
      <c r="AG330" s="388"/>
      <c r="AH330" s="388"/>
      <c r="AI330" s="388"/>
      <c r="AJ330" s="388"/>
      <c r="AK330" s="438"/>
      <c r="AL330" s="436"/>
      <c r="AM330" s="390">
        <f t="shared" si="93"/>
        <v>100000</v>
      </c>
      <c r="AN330" s="1165"/>
    </row>
    <row r="331" spans="1:40" s="379" customFormat="1" ht="21.75" thickBot="1" x14ac:dyDescent="0.4">
      <c r="A331" s="377" t="s">
        <v>80</v>
      </c>
      <c r="B331" s="378">
        <v>3425</v>
      </c>
      <c r="C331" s="888">
        <v>45996</v>
      </c>
      <c r="D331" s="889">
        <v>46203</v>
      </c>
      <c r="E331" s="355">
        <f>V331-AL331</f>
        <v>225000</v>
      </c>
      <c r="F331" s="803"/>
      <c r="G331" s="803"/>
      <c r="H331" s="803"/>
      <c r="I331" s="355"/>
      <c r="J331" s="351"/>
      <c r="K331" s="367"/>
      <c r="L331" s="486"/>
      <c r="M331" s="1088"/>
      <c r="N331" s="486"/>
      <c r="O331" s="486"/>
      <c r="P331" s="486"/>
      <c r="Q331" s="486"/>
      <c r="R331" s="486"/>
      <c r="S331" s="486"/>
      <c r="T331" s="486"/>
      <c r="U331" s="837"/>
      <c r="V331" s="356">
        <v>225000</v>
      </c>
      <c r="W331" s="356"/>
      <c r="X331" s="356"/>
      <c r="Y331" s="356"/>
      <c r="Z331" s="387"/>
      <c r="AA331" s="356"/>
      <c r="AB331" s="1159"/>
      <c r="AC331" s="388"/>
      <c r="AD331" s="388"/>
      <c r="AE331" s="388"/>
      <c r="AF331" s="388"/>
      <c r="AG331" s="388"/>
      <c r="AH331" s="388"/>
      <c r="AI331" s="388"/>
      <c r="AJ331" s="388"/>
      <c r="AK331" s="438"/>
      <c r="AL331" s="436"/>
      <c r="AM331" s="390">
        <f t="shared" si="93"/>
        <v>225000</v>
      </c>
      <c r="AN331" s="1165"/>
    </row>
    <row r="332" spans="1:40" s="39" customFormat="1" ht="21.75" customHeight="1" thickBot="1" x14ac:dyDescent="0.4">
      <c r="A332" s="647" t="s">
        <v>80</v>
      </c>
      <c r="B332" s="646" t="s">
        <v>24</v>
      </c>
      <c r="C332" s="446"/>
      <c r="D332" s="447"/>
      <c r="E332" s="448">
        <f t="shared" ref="E332" si="101">SUM(E259:E331)</f>
        <v>483825</v>
      </c>
      <c r="F332" s="448">
        <f t="shared" ref="F332" si="102">SUM(F259:F331)</f>
        <v>105180</v>
      </c>
      <c r="G332" s="448">
        <f t="shared" ref="G332" si="103">SUM(G259:G331)</f>
        <v>90000</v>
      </c>
      <c r="H332" s="448">
        <f t="shared" ref="H332" si="104">SUM(H259:H331)</f>
        <v>82800</v>
      </c>
      <c r="I332" s="448">
        <f t="shared" ref="I332" si="105">SUM(I259:I331)</f>
        <v>68520</v>
      </c>
      <c r="J332" s="449">
        <f t="shared" ref="J332" si="106">SUM(J259:J331)</f>
        <v>346500</v>
      </c>
      <c r="K332" s="611">
        <f t="shared" ref="K332" si="107">SUM(K259:K331)</f>
        <v>600000</v>
      </c>
      <c r="L332" s="448">
        <f t="shared" ref="L332" si="108">SUM(L259:L331)</f>
        <v>100000</v>
      </c>
      <c r="M332" s="448">
        <f t="shared" ref="M332" si="109">SUM(M259:M331)</f>
        <v>5000</v>
      </c>
      <c r="N332" s="448">
        <f t="shared" ref="N332" si="110">SUM(N259:N331)</f>
        <v>5000</v>
      </c>
      <c r="O332" s="448">
        <f t="shared" ref="O332" si="111">SUM(O259:O331)</f>
        <v>0</v>
      </c>
      <c r="P332" s="448">
        <f t="shared" ref="P332" si="112">SUM(P259:P331)</f>
        <v>1500</v>
      </c>
      <c r="Q332" s="448">
        <f t="shared" ref="Q332" si="113">SUM(Q259:Q331)</f>
        <v>100000</v>
      </c>
      <c r="R332" s="448">
        <f t="shared" ref="R332" si="114">SUM(R259:R331)</f>
        <v>0</v>
      </c>
      <c r="S332" s="448">
        <f t="shared" ref="S332" si="115">SUM(S259:S331)</f>
        <v>0</v>
      </c>
      <c r="T332" s="448">
        <f t="shared" ref="T332" si="116">SUM(T259:T331)</f>
        <v>0</v>
      </c>
      <c r="U332" s="837">
        <f t="shared" ref="U332" si="117">SUM(U259:U330)</f>
        <v>0</v>
      </c>
      <c r="V332" s="448">
        <f>SUM(V259:V331)</f>
        <v>2167500</v>
      </c>
      <c r="W332" s="448">
        <f t="shared" ref="W332:AK332" si="118">SUM(W259:W331)</f>
        <v>292890</v>
      </c>
      <c r="X332" s="448">
        <f t="shared" si="118"/>
        <v>253770</v>
      </c>
      <c r="Y332" s="448">
        <f t="shared" si="118"/>
        <v>235430</v>
      </c>
      <c r="Z332" s="448">
        <f t="shared" si="118"/>
        <v>270090</v>
      </c>
      <c r="AA332" s="449">
        <f t="shared" si="118"/>
        <v>1052180</v>
      </c>
      <c r="AB332" s="448">
        <f t="shared" si="118"/>
        <v>7488800</v>
      </c>
      <c r="AC332" s="448">
        <f t="shared" si="118"/>
        <v>550000</v>
      </c>
      <c r="AD332" s="448">
        <f t="shared" si="118"/>
        <v>185000</v>
      </c>
      <c r="AE332" s="448">
        <f t="shared" si="118"/>
        <v>120468</v>
      </c>
      <c r="AF332" s="448">
        <f t="shared" si="118"/>
        <v>7152</v>
      </c>
      <c r="AG332" s="448">
        <f t="shared" si="118"/>
        <v>1500</v>
      </c>
      <c r="AH332" s="448">
        <f t="shared" si="118"/>
        <v>250000</v>
      </c>
      <c r="AI332" s="448">
        <f t="shared" si="118"/>
        <v>0</v>
      </c>
      <c r="AJ332" s="448">
        <f t="shared" si="118"/>
        <v>0</v>
      </c>
      <c r="AK332" s="611">
        <f t="shared" si="118"/>
        <v>0</v>
      </c>
      <c r="AL332" s="468"/>
      <c r="AM332" s="611">
        <f>SUM(AM259:AM331)</f>
        <v>1641825</v>
      </c>
      <c r="AN332" s="448"/>
    </row>
    <row r="333" spans="1:40" s="39" customFormat="1" ht="21.75" thickBot="1" x14ac:dyDescent="0.4">
      <c r="A333" s="770" t="s">
        <v>153</v>
      </c>
      <c r="B333" s="771"/>
      <c r="C333" s="771"/>
      <c r="D333" s="771"/>
      <c r="E333" s="429">
        <f t="shared" ref="E333:T333" si="119">E332+E258+E192+E138+E77</f>
        <v>1713150</v>
      </c>
      <c r="F333" s="429">
        <f t="shared" si="119"/>
        <v>709380</v>
      </c>
      <c r="G333" s="429">
        <f t="shared" si="119"/>
        <v>544740</v>
      </c>
      <c r="H333" s="429">
        <f t="shared" si="119"/>
        <v>374160</v>
      </c>
      <c r="I333" s="429">
        <f t="shared" si="119"/>
        <v>329910</v>
      </c>
      <c r="J333" s="435">
        <f t="shared" si="119"/>
        <v>1958190</v>
      </c>
      <c r="K333" s="1041">
        <f t="shared" si="119"/>
        <v>2700400</v>
      </c>
      <c r="L333" s="429">
        <f t="shared" si="119"/>
        <v>624400</v>
      </c>
      <c r="M333" s="429">
        <f t="shared" si="119"/>
        <v>27000</v>
      </c>
      <c r="N333" s="429">
        <f t="shared" si="119"/>
        <v>21000</v>
      </c>
      <c r="O333" s="429">
        <f t="shared" si="119"/>
        <v>0</v>
      </c>
      <c r="P333" s="429">
        <f t="shared" si="119"/>
        <v>10000</v>
      </c>
      <c r="Q333" s="429">
        <f t="shared" si="119"/>
        <v>500000</v>
      </c>
      <c r="R333" s="429">
        <f t="shared" si="119"/>
        <v>0</v>
      </c>
      <c r="S333" s="429">
        <f t="shared" si="119"/>
        <v>0</v>
      </c>
      <c r="T333" s="429">
        <f t="shared" si="119"/>
        <v>0</v>
      </c>
      <c r="U333" s="837"/>
      <c r="V333" s="429">
        <f t="shared" ref="V333:AK333" si="120">V332+V258+V192+V138+V77</f>
        <v>8742500</v>
      </c>
      <c r="W333" s="429">
        <f t="shared" si="120"/>
        <v>1252420</v>
      </c>
      <c r="X333" s="429">
        <f t="shared" si="120"/>
        <v>1142420</v>
      </c>
      <c r="Y333" s="429">
        <f t="shared" si="120"/>
        <v>952700</v>
      </c>
      <c r="Z333" s="429">
        <f t="shared" si="120"/>
        <v>1040310</v>
      </c>
      <c r="AA333" s="435">
        <f t="shared" si="120"/>
        <v>3184610</v>
      </c>
      <c r="AB333" s="429">
        <f t="shared" si="120"/>
        <v>37553000</v>
      </c>
      <c r="AC333" s="429">
        <f t="shared" si="120"/>
        <v>3344800</v>
      </c>
      <c r="AD333" s="429">
        <f t="shared" si="120"/>
        <v>516000</v>
      </c>
      <c r="AE333" s="429">
        <f t="shared" si="120"/>
        <v>423468</v>
      </c>
      <c r="AF333" s="429">
        <f t="shared" si="120"/>
        <v>70164</v>
      </c>
      <c r="AG333" s="429">
        <f t="shared" si="120"/>
        <v>11760</v>
      </c>
      <c r="AH333" s="429">
        <f t="shared" si="120"/>
        <v>1573500</v>
      </c>
      <c r="AI333" s="429">
        <f t="shared" si="120"/>
        <v>0</v>
      </c>
      <c r="AJ333" s="429">
        <f t="shared" si="120"/>
        <v>0</v>
      </c>
      <c r="AK333" s="431">
        <f t="shared" si="120"/>
        <v>27144</v>
      </c>
      <c r="AL333" s="433"/>
      <c r="AM333" s="434"/>
      <c r="AN333" s="432"/>
    </row>
    <row r="334" spans="1:40" s="381" customFormat="1" ht="12" x14ac:dyDescent="0.2">
      <c r="A334" s="369"/>
      <c r="B334" s="370"/>
      <c r="C334" s="427"/>
      <c r="D334" s="427"/>
      <c r="E334" s="734"/>
      <c r="F334" s="807"/>
      <c r="G334" s="734"/>
      <c r="H334" s="734"/>
      <c r="I334" s="735"/>
      <c r="J334" s="736"/>
      <c r="K334" s="1042"/>
      <c r="L334" s="374"/>
      <c r="M334" s="374"/>
      <c r="N334" s="374"/>
      <c r="O334" s="374"/>
      <c r="P334" s="374"/>
      <c r="Q334" s="374"/>
      <c r="R334" s="374"/>
      <c r="S334" s="374"/>
      <c r="T334" s="374"/>
      <c r="U334" s="345"/>
      <c r="V334" s="371"/>
      <c r="W334" s="30"/>
      <c r="X334" s="30"/>
      <c r="Y334" s="30"/>
      <c r="Z334" s="372"/>
      <c r="AA334" s="373"/>
      <c r="AB334" s="345"/>
      <c r="AC334" s="374"/>
      <c r="AD334" s="374"/>
      <c r="AE334" s="374"/>
      <c r="AF334" s="374"/>
      <c r="AG334" s="374"/>
      <c r="AH334" s="374"/>
      <c r="AI334" s="374"/>
      <c r="AJ334" s="374"/>
      <c r="AK334" s="374"/>
      <c r="AL334" s="30"/>
      <c r="AM334" s="345"/>
      <c r="AN334" s="30"/>
    </row>
    <row r="335" spans="1:40" s="30" customFormat="1" ht="19.5" thickBot="1" x14ac:dyDescent="0.35">
      <c r="A335" s="262"/>
      <c r="B335" s="768" t="s">
        <v>216</v>
      </c>
      <c r="C335" s="769"/>
      <c r="D335" s="769"/>
      <c r="E335" s="769"/>
      <c r="F335" s="769"/>
      <c r="G335" s="769"/>
      <c r="H335" s="769"/>
      <c r="I335" s="769"/>
      <c r="J335" s="885"/>
      <c r="K335" s="1043"/>
      <c r="L335" s="769"/>
      <c r="M335" s="769"/>
      <c r="N335" s="769"/>
      <c r="O335" s="299"/>
      <c r="P335" s="299"/>
      <c r="Q335" s="299"/>
      <c r="R335" s="299"/>
      <c r="S335" s="299"/>
      <c r="T335" s="124"/>
      <c r="U335" s="298"/>
      <c r="V335"/>
      <c r="W335"/>
      <c r="X335"/>
      <c r="Y335" s="245"/>
      <c r="Z335" s="295"/>
      <c r="AA335" s="295"/>
      <c r="AB335" s="299"/>
      <c r="AC335" s="299"/>
      <c r="AD335" s="299"/>
      <c r="AE335" s="299"/>
      <c r="AF335" s="299"/>
      <c r="AG335" s="299"/>
      <c r="AH335" s="299"/>
      <c r="AI335" s="299"/>
      <c r="AJ335" s="299"/>
      <c r="AK335"/>
      <c r="AL335" s="124"/>
      <c r="AM335"/>
    </row>
    <row r="336" spans="1:40" s="350" customFormat="1" ht="15" customHeight="1" thickBot="1" x14ac:dyDescent="0.3">
      <c r="B336" s="762" t="s">
        <v>1</v>
      </c>
      <c r="C336" s="764" t="s">
        <v>110</v>
      </c>
      <c r="D336" s="766" t="s">
        <v>213</v>
      </c>
      <c r="E336" s="752" t="s">
        <v>30</v>
      </c>
      <c r="F336" s="815" t="s">
        <v>90</v>
      </c>
      <c r="G336" s="754" t="s">
        <v>91</v>
      </c>
      <c r="H336" s="754" t="s">
        <v>92</v>
      </c>
      <c r="I336" s="754" t="s">
        <v>93</v>
      </c>
      <c r="J336" s="757" t="s">
        <v>94</v>
      </c>
      <c r="K336" s="1028" t="s">
        <v>46</v>
      </c>
      <c r="L336" s="1032" t="s">
        <v>95</v>
      </c>
      <c r="M336" s="908" t="s">
        <v>97</v>
      </c>
      <c r="N336" s="906" t="s">
        <v>256</v>
      </c>
      <c r="O336" s="299"/>
      <c r="P336" s="299"/>
      <c r="Q336" s="299"/>
      <c r="R336" s="124"/>
      <c r="S336" s="298"/>
      <c r="T336"/>
      <c r="U336"/>
      <c r="V336"/>
      <c r="W336" s="245"/>
      <c r="X336" s="295"/>
      <c r="Y336" s="124"/>
      <c r="Z336" s="299"/>
      <c r="AA336" s="295"/>
      <c r="AB336" s="299"/>
      <c r="AC336" s="299"/>
      <c r="AD336" s="299"/>
      <c r="AE336" s="299"/>
      <c r="AF336" s="299"/>
      <c r="AG336" s="299"/>
      <c r="AH336" s="299"/>
      <c r="AI336"/>
      <c r="AJ336" s="124"/>
      <c r="AK336"/>
    </row>
    <row r="337" spans="2:39" s="403" customFormat="1" ht="16.5" thickTop="1" thickBot="1" x14ac:dyDescent="0.3">
      <c r="B337" s="763"/>
      <c r="C337" s="765"/>
      <c r="D337" s="767"/>
      <c r="E337" s="753"/>
      <c r="F337" s="816"/>
      <c r="G337" s="755"/>
      <c r="H337" s="755"/>
      <c r="I337" s="755"/>
      <c r="J337" s="758"/>
      <c r="K337" s="1029"/>
      <c r="L337" s="1033" t="s">
        <v>96</v>
      </c>
      <c r="M337" s="909" t="s">
        <v>95</v>
      </c>
      <c r="N337" s="907"/>
      <c r="O337" s="299"/>
      <c r="P337" s="299"/>
      <c r="Q337" s="299"/>
      <c r="R337" s="124"/>
      <c r="S337" s="298"/>
      <c r="T337"/>
      <c r="U337"/>
      <c r="V337"/>
      <c r="W337" s="245" t="s">
        <v>263</v>
      </c>
      <c r="X337" s="295"/>
      <c r="Y337" s="124"/>
      <c r="Z337" s="299"/>
      <c r="AA337" s="295"/>
      <c r="AB337" s="299"/>
      <c r="AC337" s="299"/>
      <c r="AD337" s="299"/>
      <c r="AE337" s="299"/>
      <c r="AF337" s="299"/>
      <c r="AG337" s="299"/>
      <c r="AH337" s="299"/>
      <c r="AI337"/>
      <c r="AJ337" s="124"/>
      <c r="AK337"/>
    </row>
    <row r="338" spans="2:39" s="403" customFormat="1" ht="30.75" thickTop="1" x14ac:dyDescent="0.25">
      <c r="B338" s="624" t="s">
        <v>25</v>
      </c>
      <c r="C338" s="624" t="s">
        <v>335</v>
      </c>
      <c r="D338" s="625" t="s">
        <v>198</v>
      </c>
      <c r="E338" s="271">
        <f>E42</f>
        <v>0</v>
      </c>
      <c r="F338" s="808">
        <f>F48</f>
        <v>0</v>
      </c>
      <c r="G338" s="257">
        <f>G47</f>
        <v>0</v>
      </c>
      <c r="H338" s="257">
        <f>H46</f>
        <v>0</v>
      </c>
      <c r="I338" s="257">
        <f>I45</f>
        <v>0</v>
      </c>
      <c r="J338" s="627">
        <f>SUM(F338:I338)</f>
        <v>0</v>
      </c>
      <c r="K338" s="272">
        <f>K19</f>
        <v>0</v>
      </c>
      <c r="L338" s="1034" t="s">
        <v>321</v>
      </c>
      <c r="M338" s="896" t="s">
        <v>323</v>
      </c>
      <c r="N338" s="744"/>
      <c r="O338" s="299"/>
      <c r="P338" s="1005"/>
      <c r="Q338" s="299"/>
      <c r="R338" s="299"/>
      <c r="S338" s="124"/>
      <c r="T338" s="298"/>
      <c r="U338"/>
      <c r="V338"/>
      <c r="W338"/>
      <c r="X338" s="245"/>
      <c r="Y338" s="295"/>
      <c r="Z338" s="124"/>
      <c r="AA338" s="295"/>
      <c r="AB338" s="299"/>
      <c r="AC338" s="299"/>
      <c r="AD338" s="299"/>
      <c r="AE338" s="299"/>
      <c r="AF338" s="299"/>
      <c r="AG338" s="299"/>
      <c r="AH338" s="299"/>
      <c r="AI338" s="299"/>
      <c r="AJ338"/>
      <c r="AK338" s="124"/>
      <c r="AL338"/>
    </row>
    <row r="339" spans="2:39" s="403" customFormat="1" x14ac:dyDescent="0.25">
      <c r="B339" s="624" t="s">
        <v>25</v>
      </c>
      <c r="C339" s="624">
        <v>167772269</v>
      </c>
      <c r="D339" s="625" t="s">
        <v>198</v>
      </c>
      <c r="E339" s="271"/>
      <c r="F339" s="808"/>
      <c r="G339" s="257"/>
      <c r="H339" s="257">
        <f>H22</f>
        <v>0</v>
      </c>
      <c r="I339" s="257">
        <f>I23</f>
        <v>0</v>
      </c>
      <c r="J339" s="627">
        <f>SUM(F339:I339)</f>
        <v>0</v>
      </c>
      <c r="K339" s="272"/>
      <c r="L339" s="913" t="s">
        <v>193</v>
      </c>
      <c r="M339" s="738" t="s">
        <v>187</v>
      </c>
      <c r="N339" s="744"/>
      <c r="O339" s="299"/>
      <c r="P339" s="1006"/>
      <c r="Q339" s="298"/>
      <c r="R339"/>
      <c r="S339"/>
      <c r="T339"/>
      <c r="U339" s="245"/>
      <c r="V339" s="295"/>
      <c r="W339" s="124"/>
      <c r="X339" s="299"/>
      <c r="Y339" s="299"/>
      <c r="Z339" s="299"/>
      <c r="AA339" s="295"/>
      <c r="AB339" s="299"/>
      <c r="AC339" s="299"/>
      <c r="AD339" s="299"/>
      <c r="AE339" s="299"/>
      <c r="AF339" s="299"/>
      <c r="AG339"/>
      <c r="AH339" s="124"/>
      <c r="AI339"/>
    </row>
    <row r="340" spans="2:39" s="379" customFormat="1" x14ac:dyDescent="0.25">
      <c r="B340" s="624" t="s">
        <v>25</v>
      </c>
      <c r="C340" s="624">
        <v>167772332</v>
      </c>
      <c r="D340" s="625" t="s">
        <v>199</v>
      </c>
      <c r="E340" s="271"/>
      <c r="F340" s="808">
        <v>0</v>
      </c>
      <c r="G340" s="257">
        <v>0</v>
      </c>
      <c r="H340" s="257">
        <v>0</v>
      </c>
      <c r="I340" s="257">
        <v>0</v>
      </c>
      <c r="J340" s="627">
        <f t="shared" ref="J340:J371" si="121">SUM(F340:I340)</f>
        <v>0</v>
      </c>
      <c r="K340" s="272">
        <f>K32</f>
        <v>0</v>
      </c>
      <c r="L340" s="913">
        <v>45279</v>
      </c>
      <c r="M340" s="738">
        <v>45381</v>
      </c>
      <c r="N340" s="744"/>
      <c r="O340" s="299"/>
      <c r="P340" s="299"/>
      <c r="Q340" s="299"/>
      <c r="R340" s="299"/>
      <c r="S340" s="124"/>
      <c r="T340" s="298"/>
      <c r="U340"/>
      <c r="V340"/>
      <c r="W340"/>
      <c r="X340" s="245"/>
      <c r="Y340" s="295"/>
      <c r="Z340" s="124"/>
      <c r="AA340" s="295"/>
      <c r="AB340" s="299"/>
      <c r="AC340" s="299"/>
      <c r="AD340" s="299"/>
      <c r="AE340" s="299"/>
      <c r="AF340" s="299"/>
      <c r="AG340" s="299"/>
      <c r="AH340" s="299"/>
      <c r="AI340" s="299"/>
      <c r="AJ340"/>
      <c r="AK340" s="124"/>
      <c r="AL340"/>
    </row>
    <row r="341" spans="2:39" s="379" customFormat="1" x14ac:dyDescent="0.25">
      <c r="B341" s="624" t="s">
        <v>25</v>
      </c>
      <c r="C341" s="260">
        <v>167772377</v>
      </c>
      <c r="D341" s="625" t="s">
        <v>199</v>
      </c>
      <c r="E341" s="271"/>
      <c r="F341" s="808">
        <f>F37</f>
        <v>0</v>
      </c>
      <c r="G341" s="257">
        <f>G38</f>
        <v>0</v>
      </c>
      <c r="H341" s="257">
        <f>H39</f>
        <v>2160</v>
      </c>
      <c r="I341" s="257">
        <f>I40</f>
        <v>2160</v>
      </c>
      <c r="J341" s="627">
        <f>SUM(F341:I341)</f>
        <v>4320</v>
      </c>
      <c r="K341" s="272"/>
      <c r="L341" s="910" t="s">
        <v>275</v>
      </c>
      <c r="M341" s="897" t="s">
        <v>276</v>
      </c>
      <c r="N341" s="776"/>
      <c r="O341" s="299"/>
      <c r="P341" s="299"/>
      <c r="Q341" s="299"/>
      <c r="R341" s="299"/>
      <c r="S341" s="124"/>
      <c r="T341" s="298"/>
      <c r="U341"/>
      <c r="V341"/>
      <c r="W341"/>
      <c r="X341" s="245"/>
      <c r="Y341" s="295"/>
      <c r="Z341" s="124"/>
      <c r="AA341" s="295"/>
      <c r="AB341" s="299"/>
      <c r="AC341" s="299"/>
      <c r="AD341" s="299"/>
      <c r="AE341" s="299"/>
      <c r="AF341" s="299"/>
      <c r="AG341" s="299"/>
      <c r="AH341" s="299"/>
      <c r="AI341" s="299"/>
      <c r="AJ341"/>
      <c r="AK341" s="124"/>
      <c r="AL341"/>
    </row>
    <row r="342" spans="2:39" s="379" customFormat="1" ht="15.75" thickBot="1" x14ac:dyDescent="0.3">
      <c r="B342" s="624" t="s">
        <v>25</v>
      </c>
      <c r="C342" s="260">
        <v>167772381</v>
      </c>
      <c r="D342" s="640" t="s">
        <v>199</v>
      </c>
      <c r="E342" s="777"/>
      <c r="F342" s="808"/>
      <c r="G342" s="257"/>
      <c r="H342" s="257"/>
      <c r="I342" s="257"/>
      <c r="J342" s="627"/>
      <c r="K342" s="820">
        <f>K41</f>
        <v>0</v>
      </c>
      <c r="L342" s="911" t="s">
        <v>248</v>
      </c>
      <c r="M342" s="819" t="s">
        <v>277</v>
      </c>
      <c r="N342" s="776"/>
      <c r="O342" s="299"/>
      <c r="P342" s="299"/>
      <c r="Q342" s="299"/>
      <c r="R342" s="299"/>
      <c r="S342" s="124"/>
      <c r="T342" s="298"/>
      <c r="U342"/>
      <c r="V342"/>
      <c r="W342"/>
      <c r="X342" s="245"/>
      <c r="Y342" s="295"/>
      <c r="Z342" s="124"/>
      <c r="AA342" s="295"/>
      <c r="AB342" s="299"/>
      <c r="AC342" s="299"/>
      <c r="AD342" s="299"/>
      <c r="AE342" s="299"/>
      <c r="AF342" s="299"/>
      <c r="AG342" s="299"/>
      <c r="AH342" s="299"/>
      <c r="AI342" s="299"/>
      <c r="AJ342"/>
      <c r="AK342" s="124"/>
      <c r="AL342"/>
    </row>
    <row r="343" spans="2:39" s="403" customFormat="1" ht="18" customHeight="1" thickBot="1" x14ac:dyDescent="0.3">
      <c r="B343" s="444" t="s">
        <v>25</v>
      </c>
      <c r="C343" s="445" t="s">
        <v>24</v>
      </c>
      <c r="D343" s="446"/>
      <c r="E343" s="448">
        <f t="shared" ref="E343:K343" si="122">SUM(E338:E342)</f>
        <v>0</v>
      </c>
      <c r="F343" s="802">
        <f t="shared" si="122"/>
        <v>0</v>
      </c>
      <c r="G343" s="802">
        <f t="shared" si="122"/>
        <v>0</v>
      </c>
      <c r="H343" s="802">
        <f t="shared" si="122"/>
        <v>2160</v>
      </c>
      <c r="I343" s="802">
        <f t="shared" si="122"/>
        <v>2160</v>
      </c>
      <c r="J343" s="817">
        <f t="shared" si="122"/>
        <v>4320</v>
      </c>
      <c r="K343" s="1044">
        <f t="shared" si="122"/>
        <v>0</v>
      </c>
      <c r="L343" s="912"/>
      <c r="M343" s="611"/>
      <c r="N343" s="448"/>
      <c r="O343" s="299"/>
      <c r="P343" s="299"/>
      <c r="Q343" s="299"/>
      <c r="R343" s="299"/>
      <c r="S343" s="124"/>
      <c r="T343" s="298"/>
      <c r="U343"/>
      <c r="V343"/>
      <c r="W343"/>
      <c r="X343" s="245"/>
      <c r="Y343" s="295"/>
      <c r="Z343" s="124"/>
      <c r="AA343" s="295"/>
      <c r="AB343" s="299"/>
      <c r="AC343" s="299"/>
      <c r="AD343" s="299"/>
      <c r="AE343" s="299"/>
      <c r="AF343" s="299"/>
      <c r="AG343" s="299"/>
      <c r="AH343" s="299"/>
      <c r="AI343" s="299"/>
      <c r="AJ343"/>
      <c r="AK343" s="124"/>
      <c r="AL343"/>
    </row>
    <row r="344" spans="2:39" s="30" customFormat="1" x14ac:dyDescent="0.25">
      <c r="B344" s="624" t="s">
        <v>26</v>
      </c>
      <c r="C344" s="624">
        <v>1024</v>
      </c>
      <c r="D344" s="625" t="s">
        <v>199</v>
      </c>
      <c r="E344" s="271">
        <f>E82</f>
        <v>0</v>
      </c>
      <c r="F344" s="808">
        <v>0</v>
      </c>
      <c r="G344" s="257">
        <v>0</v>
      </c>
      <c r="H344" s="257">
        <v>0</v>
      </c>
      <c r="I344" s="257">
        <v>0</v>
      </c>
      <c r="J344" s="627">
        <f t="shared" si="121"/>
        <v>0</v>
      </c>
      <c r="K344" s="272">
        <v>0</v>
      </c>
      <c r="L344" s="1035" t="s">
        <v>178</v>
      </c>
      <c r="M344" s="467" t="s">
        <v>179</v>
      </c>
      <c r="N344" s="744"/>
      <c r="O344" s="299"/>
      <c r="P344" s="299"/>
      <c r="Q344" s="299"/>
      <c r="R344" s="299"/>
      <c r="S344" s="124"/>
      <c r="T344" s="298"/>
      <c r="U344"/>
      <c r="V344"/>
      <c r="W344"/>
      <c r="X344" s="245"/>
      <c r="Y344" s="295"/>
      <c r="Z344" s="124"/>
      <c r="AA344" s="295"/>
      <c r="AB344" s="299"/>
      <c r="AC344" s="299"/>
      <c r="AD344" s="299"/>
      <c r="AE344" s="299"/>
      <c r="AF344" s="299"/>
      <c r="AG344" s="299"/>
      <c r="AH344" s="299"/>
      <c r="AI344" s="299"/>
      <c r="AJ344"/>
      <c r="AK344" s="124"/>
      <c r="AL344"/>
    </row>
    <row r="345" spans="2:39" s="30" customFormat="1" x14ac:dyDescent="0.25">
      <c r="B345" s="624" t="s">
        <v>26</v>
      </c>
      <c r="C345" s="624">
        <v>3212</v>
      </c>
      <c r="D345" s="625" t="s">
        <v>199</v>
      </c>
      <c r="E345" s="271"/>
      <c r="F345" s="808">
        <v>0</v>
      </c>
      <c r="G345" s="257">
        <f>G83</f>
        <v>0</v>
      </c>
      <c r="H345" s="257">
        <f>H84</f>
        <v>0</v>
      </c>
      <c r="I345" s="257">
        <f>I86</f>
        <v>0</v>
      </c>
      <c r="J345" s="627">
        <f>SUM(F345:I345)</f>
        <v>0</v>
      </c>
      <c r="K345" s="272">
        <v>0</v>
      </c>
      <c r="L345" s="913" t="s">
        <v>189</v>
      </c>
      <c r="M345" s="738" t="s">
        <v>187</v>
      </c>
      <c r="N345" s="744"/>
      <c r="O345" s="299"/>
      <c r="P345" s="299"/>
      <c r="Q345" s="299"/>
      <c r="R345" s="299"/>
      <c r="S345" s="124"/>
      <c r="T345" s="298"/>
      <c r="U345"/>
      <c r="V345"/>
      <c r="W345"/>
      <c r="X345" s="245"/>
      <c r="Y345" s="295"/>
      <c r="Z345" s="124"/>
      <c r="AA345" s="295"/>
      <c r="AB345" s="299"/>
      <c r="AC345" s="299"/>
      <c r="AD345" s="299"/>
      <c r="AE345" s="299"/>
      <c r="AF345" s="299"/>
      <c r="AG345" s="299"/>
      <c r="AH345" s="299"/>
      <c r="AI345" s="299"/>
      <c r="AJ345"/>
      <c r="AK345" s="124"/>
      <c r="AL345"/>
    </row>
    <row r="346" spans="2:39" s="30" customFormat="1" x14ac:dyDescent="0.25">
      <c r="B346" s="624" t="s">
        <v>26</v>
      </c>
      <c r="C346" s="624" t="s">
        <v>334</v>
      </c>
      <c r="D346" s="625" t="s">
        <v>198</v>
      </c>
      <c r="E346" s="271">
        <f>E110</f>
        <v>0</v>
      </c>
      <c r="F346" s="808" t="str">
        <f>F104</f>
        <v>-</v>
      </c>
      <c r="G346" s="257">
        <f>G105</f>
        <v>0</v>
      </c>
      <c r="H346" s="257" t="str">
        <f>H106</f>
        <v>-</v>
      </c>
      <c r="I346" s="257">
        <f>I107</f>
        <v>0</v>
      </c>
      <c r="J346" s="627">
        <f t="shared" si="121"/>
        <v>0</v>
      </c>
      <c r="K346" s="272">
        <f>K89</f>
        <v>0</v>
      </c>
      <c r="L346" s="1036" t="s">
        <v>321</v>
      </c>
      <c r="M346" s="896" t="s">
        <v>322</v>
      </c>
      <c r="N346" s="744"/>
      <c r="O346" s="746"/>
      <c r="P346" s="299"/>
      <c r="Q346" s="299"/>
      <c r="R346" s="299"/>
      <c r="S346" s="124"/>
      <c r="T346" s="298"/>
      <c r="U346"/>
      <c r="V346"/>
      <c r="W346"/>
      <c r="X346" s="245"/>
      <c r="Y346" s="295"/>
      <c r="Z346" s="124"/>
      <c r="AA346" s="295"/>
      <c r="AB346" s="299"/>
      <c r="AC346" s="299"/>
      <c r="AD346" s="299"/>
      <c r="AE346" s="299"/>
      <c r="AF346" s="299"/>
      <c r="AG346" s="299"/>
      <c r="AH346" s="299"/>
      <c r="AI346" s="299"/>
      <c r="AJ346"/>
      <c r="AK346" s="124"/>
      <c r="AL346"/>
    </row>
    <row r="347" spans="2:39" s="30" customFormat="1" x14ac:dyDescent="0.25">
      <c r="B347" s="624" t="s">
        <v>26</v>
      </c>
      <c r="C347" s="624">
        <v>3212</v>
      </c>
      <c r="D347" s="625" t="s">
        <v>199</v>
      </c>
      <c r="E347" s="271"/>
      <c r="F347" s="808"/>
      <c r="G347" s="257"/>
      <c r="H347" s="257">
        <f>H85</f>
        <v>0</v>
      </c>
      <c r="I347" s="257"/>
      <c r="J347" s="627">
        <f t="shared" si="121"/>
        <v>0</v>
      </c>
      <c r="K347" s="272"/>
      <c r="L347" s="913" t="s">
        <v>271</v>
      </c>
      <c r="M347" s="738" t="s">
        <v>272</v>
      </c>
      <c r="N347" s="745"/>
      <c r="O347" s="778" t="s">
        <v>273</v>
      </c>
      <c r="P347" s="299"/>
      <c r="Q347" s="299"/>
      <c r="R347" s="299"/>
      <c r="S347" s="124"/>
      <c r="T347" s="298"/>
      <c r="U347"/>
      <c r="V347"/>
      <c r="W347"/>
      <c r="X347" s="245"/>
      <c r="Y347" s="295"/>
      <c r="Z347" s="124"/>
      <c r="AA347" s="295"/>
      <c r="AB347" s="299"/>
      <c r="AC347" s="299"/>
      <c r="AD347" s="299"/>
      <c r="AE347" s="299"/>
      <c r="AF347" s="299"/>
      <c r="AG347" s="299"/>
      <c r="AH347" s="299"/>
      <c r="AI347" s="299"/>
      <c r="AJ347"/>
      <c r="AK347" s="124"/>
      <c r="AL347"/>
    </row>
    <row r="348" spans="2:39" s="30" customFormat="1" x14ac:dyDescent="0.25">
      <c r="B348" s="624" t="s">
        <v>26</v>
      </c>
      <c r="C348" s="624">
        <v>3305</v>
      </c>
      <c r="D348" s="625" t="s">
        <v>219</v>
      </c>
      <c r="E348" s="257"/>
      <c r="F348" s="808"/>
      <c r="G348" s="257"/>
      <c r="H348" s="257"/>
      <c r="I348" s="257"/>
      <c r="J348" s="627">
        <f t="shared" si="121"/>
        <v>0</v>
      </c>
      <c r="K348" s="272">
        <f>K99</f>
        <v>0</v>
      </c>
      <c r="L348" s="913">
        <v>45322</v>
      </c>
      <c r="M348" s="648">
        <v>45412</v>
      </c>
      <c r="N348" s="744"/>
      <c r="O348" s="299"/>
      <c r="P348" s="299"/>
      <c r="Q348" s="299"/>
      <c r="R348" s="299"/>
      <c r="S348" s="124"/>
      <c r="T348" s="298"/>
      <c r="U348"/>
      <c r="V348"/>
      <c r="W348"/>
      <c r="X348" s="245"/>
      <c r="Y348" s="295"/>
      <c r="Z348" s="124"/>
      <c r="AA348" s="295"/>
      <c r="AB348" s="299"/>
      <c r="AC348" s="299"/>
      <c r="AD348" s="299"/>
      <c r="AE348" s="299"/>
      <c r="AF348" s="299"/>
      <c r="AG348" s="299"/>
      <c r="AH348" s="299"/>
      <c r="AI348" s="299"/>
      <c r="AJ348"/>
      <c r="AK348" s="124"/>
      <c r="AL348"/>
    </row>
    <row r="349" spans="2:39" s="30" customFormat="1" x14ac:dyDescent="0.25">
      <c r="B349" s="624" t="s">
        <v>26</v>
      </c>
      <c r="C349" s="792">
        <v>3325</v>
      </c>
      <c r="D349" s="625" t="s">
        <v>199</v>
      </c>
      <c r="E349" s="257"/>
      <c r="F349" s="808">
        <f>F100</f>
        <v>0</v>
      </c>
      <c r="G349" s="257">
        <f>G101</f>
        <v>0</v>
      </c>
      <c r="H349" s="257">
        <f>H102</f>
        <v>0</v>
      </c>
      <c r="I349" s="257">
        <f>I103</f>
        <v>0</v>
      </c>
      <c r="J349" s="627">
        <f t="shared" si="121"/>
        <v>0</v>
      </c>
      <c r="K349" s="272"/>
      <c r="L349" s="913" t="s">
        <v>275</v>
      </c>
      <c r="M349" s="648" t="s">
        <v>276</v>
      </c>
      <c r="N349" s="776"/>
      <c r="O349" s="299"/>
      <c r="P349" s="299"/>
      <c r="Q349" s="299"/>
      <c r="R349" s="299"/>
      <c r="S349" s="124"/>
      <c r="T349" s="298"/>
      <c r="U349"/>
      <c r="V349"/>
      <c r="W349"/>
      <c r="X349" s="245"/>
      <c r="Y349" s="295"/>
      <c r="Z349" s="124"/>
      <c r="AA349" s="295"/>
      <c r="AB349" s="299"/>
      <c r="AC349" s="299"/>
      <c r="AD349" s="299"/>
      <c r="AE349" s="299"/>
      <c r="AF349" s="299"/>
      <c r="AG349" s="299"/>
      <c r="AH349" s="299"/>
      <c r="AI349" s="299"/>
      <c r="AJ349"/>
      <c r="AK349" s="124"/>
      <c r="AL349"/>
    </row>
    <row r="350" spans="2:39" s="30" customFormat="1" ht="15.75" thickBot="1" x14ac:dyDescent="0.3">
      <c r="B350" s="624" t="s">
        <v>26</v>
      </c>
      <c r="C350" s="792">
        <v>3325</v>
      </c>
      <c r="D350" s="640" t="s">
        <v>199</v>
      </c>
      <c r="E350" s="257"/>
      <c r="F350" s="808"/>
      <c r="G350" s="257"/>
      <c r="H350" s="257">
        <f>H111</f>
        <v>0</v>
      </c>
      <c r="I350" s="257"/>
      <c r="J350" s="627">
        <f>SUM(F350:I350)</f>
        <v>0</v>
      </c>
      <c r="K350" s="272"/>
      <c r="L350" s="913" t="s">
        <v>367</v>
      </c>
      <c r="M350" s="648" t="s">
        <v>350</v>
      </c>
      <c r="N350" s="776"/>
      <c r="O350" s="299"/>
      <c r="P350" s="299"/>
      <c r="Q350" s="299"/>
      <c r="R350" s="299"/>
      <c r="S350" s="124"/>
      <c r="T350" s="298"/>
      <c r="U350"/>
      <c r="V350"/>
      <c r="W350"/>
      <c r="X350" s="245"/>
      <c r="Y350" s="295"/>
      <c r="Z350" s="124"/>
      <c r="AA350" s="295"/>
      <c r="AB350" s="299"/>
      <c r="AC350" s="299"/>
      <c r="AD350" s="299"/>
      <c r="AE350" s="299"/>
      <c r="AF350" s="299"/>
      <c r="AG350" s="299"/>
      <c r="AH350" s="299"/>
      <c r="AI350" s="299"/>
      <c r="AJ350"/>
      <c r="AK350" s="124"/>
      <c r="AL350"/>
    </row>
    <row r="351" spans="2:39" s="30" customFormat="1" ht="15.75" thickBot="1" x14ac:dyDescent="0.3">
      <c r="B351" s="444" t="s">
        <v>26</v>
      </c>
      <c r="C351" s="445" t="s">
        <v>24</v>
      </c>
      <c r="D351" s="446"/>
      <c r="E351" s="448">
        <f t="shared" ref="E351:K351" si="123">SUM(E344:E350)</f>
        <v>0</v>
      </c>
      <c r="F351" s="448">
        <f t="shared" si="123"/>
        <v>0</v>
      </c>
      <c r="G351" s="448">
        <f t="shared" si="123"/>
        <v>0</v>
      </c>
      <c r="H351" s="448">
        <f t="shared" si="123"/>
        <v>0</v>
      </c>
      <c r="I351" s="448">
        <f t="shared" si="123"/>
        <v>0</v>
      </c>
      <c r="J351" s="449">
        <f t="shared" si="123"/>
        <v>0</v>
      </c>
      <c r="K351" s="611">
        <f t="shared" si="123"/>
        <v>0</v>
      </c>
      <c r="L351" s="912"/>
      <c r="M351" s="448"/>
      <c r="N351" s="448"/>
      <c r="O351" s="299"/>
      <c r="P351" s="299"/>
      <c r="Q351" s="299"/>
      <c r="R351" s="299"/>
      <c r="S351" s="124"/>
      <c r="T351" s="298"/>
      <c r="U351"/>
      <c r="V351"/>
      <c r="W351"/>
      <c r="X351" s="245"/>
      <c r="Y351" s="295"/>
      <c r="Z351" s="124"/>
      <c r="AA351" s="295"/>
      <c r="AB351" s="299"/>
      <c r="AC351" s="299"/>
      <c r="AD351" s="299"/>
      <c r="AE351" s="299"/>
      <c r="AF351" s="299"/>
      <c r="AG351" s="299"/>
      <c r="AH351" s="299"/>
      <c r="AI351" s="299"/>
      <c r="AJ351"/>
      <c r="AK351" s="124"/>
      <c r="AL351"/>
    </row>
    <row r="352" spans="2:39" s="379" customFormat="1" x14ac:dyDescent="0.25">
      <c r="B352" s="624" t="s">
        <v>27</v>
      </c>
      <c r="C352" s="624">
        <v>4018</v>
      </c>
      <c r="D352" s="625" t="s">
        <v>199</v>
      </c>
      <c r="E352" s="271">
        <f>E141</f>
        <v>0</v>
      </c>
      <c r="F352" s="808">
        <v>0</v>
      </c>
      <c r="G352" s="257">
        <v>0</v>
      </c>
      <c r="H352" s="257">
        <v>0</v>
      </c>
      <c r="I352" s="257">
        <v>0</v>
      </c>
      <c r="J352" s="627">
        <f>SUM(F352:I352)</f>
        <v>0</v>
      </c>
      <c r="K352" s="272">
        <v>0</v>
      </c>
      <c r="L352" s="1037" t="s">
        <v>164</v>
      </c>
      <c r="M352" s="739" t="s">
        <v>165</v>
      </c>
      <c r="N352" s="744"/>
      <c r="O352" s="299"/>
      <c r="P352" s="299"/>
      <c r="Q352" s="299"/>
      <c r="R352" s="299"/>
      <c r="S352" s="124"/>
      <c r="T352" s="298"/>
      <c r="U352"/>
      <c r="V352"/>
      <c r="W352"/>
      <c r="X352" s="245"/>
      <c r="Y352" s="295"/>
      <c r="Z352" s="124"/>
      <c r="AA352" s="295"/>
      <c r="AB352" s="299"/>
      <c r="AC352" s="299"/>
      <c r="AD352" s="299"/>
      <c r="AE352" s="299"/>
      <c r="AF352" s="299"/>
      <c r="AG352" s="299"/>
      <c r="AH352" s="299"/>
      <c r="AI352" s="299"/>
      <c r="AJ352"/>
      <c r="AK352" s="124"/>
      <c r="AL352"/>
      <c r="AM352" s="30"/>
    </row>
    <row r="353" spans="1:44" s="379" customFormat="1" x14ac:dyDescent="0.25">
      <c r="B353" s="624" t="s">
        <v>27</v>
      </c>
      <c r="C353" s="624" t="s">
        <v>336</v>
      </c>
      <c r="D353" s="625" t="s">
        <v>198</v>
      </c>
      <c r="E353" s="271">
        <v>125000</v>
      </c>
      <c r="F353" s="808">
        <f>F161</f>
        <v>0</v>
      </c>
      <c r="G353" s="257">
        <f>G162</f>
        <v>0</v>
      </c>
      <c r="H353" s="257">
        <f>H163</f>
        <v>0</v>
      </c>
      <c r="I353" s="257">
        <f>I164</f>
        <v>0</v>
      </c>
      <c r="J353" s="627">
        <f>SUM(F353:I353)</f>
        <v>0</v>
      </c>
      <c r="K353" s="272">
        <f>K145</f>
        <v>0</v>
      </c>
      <c r="L353" s="1038" t="s">
        <v>321</v>
      </c>
      <c r="M353" s="898" t="s">
        <v>322</v>
      </c>
      <c r="N353" s="744"/>
      <c r="O353" s="299"/>
      <c r="P353" s="299"/>
      <c r="Q353" s="299"/>
      <c r="R353" s="299"/>
      <c r="S353" s="124"/>
      <c r="T353" s="298"/>
      <c r="U353"/>
      <c r="V353"/>
      <c r="W353"/>
      <c r="X353" s="245"/>
      <c r="Y353" s="295"/>
      <c r="Z353" s="124"/>
      <c r="AA353" s="295"/>
      <c r="AB353" s="299"/>
      <c r="AC353" s="299"/>
      <c r="AD353" s="299"/>
      <c r="AE353" s="299"/>
      <c r="AF353" s="299"/>
      <c r="AG353" s="299"/>
      <c r="AH353" s="299"/>
      <c r="AI353" s="299"/>
      <c r="AJ353"/>
      <c r="AK353" s="124"/>
      <c r="AL353"/>
      <c r="AM353" s="30"/>
    </row>
    <row r="354" spans="1:44" s="379" customFormat="1" x14ac:dyDescent="0.25">
      <c r="A354" s="262"/>
      <c r="B354" s="747" t="s">
        <v>27</v>
      </c>
      <c r="C354" s="747">
        <v>4149</v>
      </c>
      <c r="D354" s="639" t="s">
        <v>198</v>
      </c>
      <c r="E354" s="629"/>
      <c r="F354" s="809"/>
      <c r="G354" s="551"/>
      <c r="H354" s="551"/>
      <c r="I354" s="630"/>
      <c r="J354" s="627">
        <f t="shared" si="121"/>
        <v>0</v>
      </c>
      <c r="K354" s="272">
        <f>K154</f>
        <v>0</v>
      </c>
      <c r="L354" s="1039" t="s">
        <v>204</v>
      </c>
      <c r="M354" s="740" t="s">
        <v>203</v>
      </c>
      <c r="N354" s="899" t="s">
        <v>259</v>
      </c>
      <c r="O354" s="749" t="s">
        <v>241</v>
      </c>
      <c r="P354" s="299"/>
      <c r="Q354" s="299"/>
      <c r="R354" s="299"/>
      <c r="S354" s="299"/>
      <c r="T354" s="124"/>
      <c r="U354" s="298"/>
      <c r="V354"/>
      <c r="W354"/>
      <c r="X354"/>
      <c r="Y354" s="245"/>
      <c r="Z354" s="295"/>
      <c r="AA354" s="295"/>
      <c r="AB354" s="299"/>
      <c r="AC354" s="299"/>
      <c r="AD354" s="299"/>
      <c r="AE354" s="299"/>
      <c r="AF354" s="299"/>
      <c r="AG354" s="299"/>
      <c r="AH354" s="299"/>
      <c r="AI354" s="299"/>
      <c r="AJ354" s="299"/>
      <c r="AK354"/>
      <c r="AL354" s="124"/>
      <c r="AM354"/>
      <c r="AN354" s="30"/>
    </row>
    <row r="355" spans="1:44" s="123" customFormat="1" ht="15.75" thickBot="1" x14ac:dyDescent="0.3">
      <c r="A355" s="262"/>
      <c r="B355" s="748" t="s">
        <v>27</v>
      </c>
      <c r="C355" s="748">
        <v>4179</v>
      </c>
      <c r="D355" s="640" t="s">
        <v>199</v>
      </c>
      <c r="E355" s="553"/>
      <c r="F355" s="810">
        <f>F157</f>
        <v>0</v>
      </c>
      <c r="G355" s="553">
        <f>G158</f>
        <v>0</v>
      </c>
      <c r="H355" s="553">
        <f>H159</f>
        <v>0</v>
      </c>
      <c r="I355" s="793">
        <f>I160</f>
        <v>0</v>
      </c>
      <c r="J355" s="627">
        <f>SUM(F355:I355)</f>
        <v>0</v>
      </c>
      <c r="K355" s="1045"/>
      <c r="L355" s="914" t="s">
        <v>275</v>
      </c>
      <c r="M355" s="741" t="s">
        <v>276</v>
      </c>
      <c r="N355" s="776"/>
      <c r="O355" s="299"/>
      <c r="P355" s="299"/>
      <c r="Q355" s="299"/>
      <c r="R355" s="299"/>
      <c r="S355" s="299"/>
      <c r="T355" s="124"/>
      <c r="U355" s="298"/>
      <c r="V355"/>
      <c r="W355"/>
      <c r="X355"/>
      <c r="Y355" s="245"/>
      <c r="Z355" s="295"/>
      <c r="AA355" s="295"/>
      <c r="AB355" s="299"/>
      <c r="AC355" s="299"/>
      <c r="AD355" s="299"/>
      <c r="AE355" s="299"/>
      <c r="AF355" s="299"/>
      <c r="AG355" s="299"/>
      <c r="AH355" s="299"/>
      <c r="AI355" s="299"/>
      <c r="AJ355" s="299"/>
      <c r="AK355"/>
      <c r="AL355" s="124"/>
      <c r="AM355"/>
      <c r="AN355" s="1304"/>
      <c r="AO355" s="1305"/>
      <c r="AP355" s="1305"/>
      <c r="AQ355" s="1305"/>
      <c r="AR355" s="524"/>
    </row>
    <row r="356" spans="1:44" s="30" customFormat="1" ht="15.75" thickBot="1" x14ac:dyDescent="0.3">
      <c r="A356" s="262"/>
      <c r="B356" s="444" t="s">
        <v>27</v>
      </c>
      <c r="C356" s="445" t="s">
        <v>24</v>
      </c>
      <c r="D356" s="446"/>
      <c r="E356" s="448">
        <f t="shared" ref="E356:K356" si="124">SUM(E352:E355)</f>
        <v>125000</v>
      </c>
      <c r="F356" s="802">
        <f t="shared" si="124"/>
        <v>0</v>
      </c>
      <c r="G356" s="448">
        <f t="shared" si="124"/>
        <v>0</v>
      </c>
      <c r="H356" s="448">
        <f t="shared" si="124"/>
        <v>0</v>
      </c>
      <c r="I356" s="448">
        <f t="shared" si="124"/>
        <v>0</v>
      </c>
      <c r="J356" s="449">
        <f t="shared" si="124"/>
        <v>0</v>
      </c>
      <c r="K356" s="611">
        <f t="shared" si="124"/>
        <v>0</v>
      </c>
      <c r="L356" s="912"/>
      <c r="M356" s="448"/>
      <c r="N356" s="448"/>
      <c r="O356" s="299"/>
      <c r="P356" s="299"/>
      <c r="Q356" s="299"/>
      <c r="R356" s="299"/>
      <c r="S356" s="299"/>
      <c r="T356" s="124"/>
      <c r="U356" s="298"/>
      <c r="V356"/>
      <c r="W356"/>
      <c r="X356"/>
      <c r="Y356" s="245"/>
      <c r="Z356" s="295"/>
      <c r="AA356" s="295"/>
      <c r="AB356" s="299"/>
      <c r="AC356" s="299"/>
      <c r="AD356" s="299"/>
      <c r="AE356" s="299"/>
      <c r="AF356" s="299"/>
      <c r="AG356" s="299"/>
      <c r="AH356" s="299"/>
      <c r="AI356" s="299"/>
      <c r="AJ356" s="299"/>
      <c r="AK356"/>
      <c r="AL356" s="124"/>
      <c r="AM356"/>
      <c r="AN356" s="1304"/>
      <c r="AO356" s="1305"/>
      <c r="AP356" s="1305"/>
      <c r="AQ356" s="1305"/>
      <c r="AR356" s="524"/>
    </row>
    <row r="357" spans="1:44" s="30" customFormat="1" x14ac:dyDescent="0.25">
      <c r="A357" s="262"/>
      <c r="B357" s="633" t="s">
        <v>28</v>
      </c>
      <c r="C357" s="634">
        <v>3259</v>
      </c>
      <c r="D357" s="635" t="s">
        <v>198</v>
      </c>
      <c r="E357" s="631"/>
      <c r="F357" s="811">
        <f>F203</f>
        <v>105000</v>
      </c>
      <c r="G357" s="631">
        <f>G204</f>
        <v>96000</v>
      </c>
      <c r="H357" s="631"/>
      <c r="I357" s="632"/>
      <c r="J357" s="627">
        <f t="shared" si="121"/>
        <v>201000</v>
      </c>
      <c r="K357" s="733">
        <f>K202</f>
        <v>0</v>
      </c>
      <c r="L357" s="916" t="s">
        <v>193</v>
      </c>
      <c r="M357" s="742" t="s">
        <v>187</v>
      </c>
      <c r="N357" s="744"/>
      <c r="O357" s="299"/>
      <c r="P357" s="299"/>
      <c r="Q357" s="299"/>
      <c r="R357" s="299"/>
      <c r="S357" s="299"/>
      <c r="T357" s="124"/>
      <c r="U357" s="298"/>
      <c r="V357"/>
      <c r="W357"/>
      <c r="X357"/>
      <c r="Y357" s="245"/>
      <c r="Z357" s="295"/>
      <c r="AA357" s="295"/>
      <c r="AB357" s="299"/>
      <c r="AC357" s="299"/>
      <c r="AD357" s="299"/>
      <c r="AE357" s="299"/>
      <c r="AF357" s="299"/>
      <c r="AG357" s="299"/>
      <c r="AH357" s="299"/>
      <c r="AI357" s="299"/>
      <c r="AJ357" s="299"/>
      <c r="AK357"/>
      <c r="AL357" s="124"/>
      <c r="AM357"/>
      <c r="AO357" s="123"/>
      <c r="AP357" s="123"/>
      <c r="AQ357" s="123"/>
    </row>
    <row r="358" spans="1:44" s="389" customFormat="1" x14ac:dyDescent="0.25">
      <c r="A358" s="262"/>
      <c r="B358" s="636" t="s">
        <v>28</v>
      </c>
      <c r="C358" s="634">
        <v>3260</v>
      </c>
      <c r="D358" s="635" t="s">
        <v>198</v>
      </c>
      <c r="E358" s="631"/>
      <c r="F358" s="811"/>
      <c r="G358" s="631"/>
      <c r="H358" s="631">
        <f>H206</f>
        <v>0</v>
      </c>
      <c r="I358" s="188">
        <f>I205</f>
        <v>0</v>
      </c>
      <c r="J358" s="627">
        <f>SUM(F358:I358)</f>
        <v>0</v>
      </c>
      <c r="K358" s="733"/>
      <c r="L358" s="916" t="s">
        <v>193</v>
      </c>
      <c r="M358" s="742" t="s">
        <v>187</v>
      </c>
      <c r="N358" s="744"/>
      <c r="O358" s="299"/>
      <c r="P358" s="299"/>
      <c r="Q358" s="299"/>
      <c r="R358" s="299"/>
      <c r="S358" s="299"/>
      <c r="T358" s="124"/>
      <c r="U358" s="298"/>
      <c r="V358"/>
      <c r="W358"/>
      <c r="X358"/>
      <c r="Y358" s="245"/>
      <c r="Z358" s="295"/>
      <c r="AA358" s="295"/>
      <c r="AB358" s="299"/>
      <c r="AC358" s="299"/>
      <c r="AD358" s="299"/>
      <c r="AE358" s="299"/>
      <c r="AF358" s="299"/>
      <c r="AG358" s="299"/>
      <c r="AH358" s="299"/>
      <c r="AI358" s="299"/>
      <c r="AJ358" s="299"/>
      <c r="AK358"/>
      <c r="AL358" s="124"/>
      <c r="AM358"/>
      <c r="AO358" s="123"/>
      <c r="AP358" s="123"/>
      <c r="AQ358" s="123"/>
      <c r="AR358" s="378"/>
    </row>
    <row r="359" spans="1:44" s="389" customFormat="1" x14ac:dyDescent="0.25">
      <c r="A359" s="262"/>
      <c r="B359" s="633" t="s">
        <v>28</v>
      </c>
      <c r="C359" s="637">
        <v>3303</v>
      </c>
      <c r="D359" s="641" t="s">
        <v>199</v>
      </c>
      <c r="E359" s="631"/>
      <c r="F359" s="811"/>
      <c r="G359" s="631"/>
      <c r="H359" s="631"/>
      <c r="I359" s="632"/>
      <c r="J359" s="627">
        <f t="shared" si="121"/>
        <v>0</v>
      </c>
      <c r="K359" s="733">
        <f>K215</f>
        <v>0</v>
      </c>
      <c r="L359" s="916" t="s">
        <v>212</v>
      </c>
      <c r="M359" s="742" t="s">
        <v>207</v>
      </c>
      <c r="N359" s="744"/>
      <c r="O359" s="299"/>
      <c r="P359" s="299"/>
      <c r="Q359" s="299"/>
      <c r="R359" s="299"/>
      <c r="S359" s="299"/>
      <c r="T359" s="124"/>
      <c r="U359" s="298"/>
      <c r="V359"/>
      <c r="W359"/>
      <c r="X359"/>
      <c r="Y359" s="245"/>
      <c r="Z359" s="295"/>
      <c r="AA359" s="295"/>
      <c r="AB359" s="299"/>
      <c r="AC359" s="299"/>
      <c r="AD359" s="299"/>
      <c r="AE359" s="299"/>
      <c r="AF359" s="299"/>
      <c r="AG359" s="299"/>
      <c r="AH359" s="299"/>
      <c r="AI359" s="299"/>
      <c r="AJ359" s="299"/>
      <c r="AK359"/>
      <c r="AL359" s="124"/>
      <c r="AM359"/>
      <c r="AO359" s="123"/>
      <c r="AP359" s="123"/>
      <c r="AQ359" s="123"/>
      <c r="AR359" s="378"/>
    </row>
    <row r="360" spans="1:44" s="389" customFormat="1" x14ac:dyDescent="0.25">
      <c r="A360" s="262"/>
      <c r="B360" s="633" t="s">
        <v>28</v>
      </c>
      <c r="C360" s="637" t="s">
        <v>337</v>
      </c>
      <c r="D360" s="641" t="s">
        <v>198</v>
      </c>
      <c r="E360" s="631">
        <f>E223</f>
        <v>0</v>
      </c>
      <c r="F360" s="811">
        <f>F229</f>
        <v>0</v>
      </c>
      <c r="G360" s="811">
        <f>G228</f>
        <v>0</v>
      </c>
      <c r="H360" s="811">
        <f>H227</f>
        <v>0</v>
      </c>
      <c r="I360" s="811">
        <f>I226</f>
        <v>0</v>
      </c>
      <c r="J360" s="627">
        <f t="shared" si="121"/>
        <v>0</v>
      </c>
      <c r="K360" s="733">
        <f>K216</f>
        <v>0</v>
      </c>
      <c r="L360" s="915" t="s">
        <v>321</v>
      </c>
      <c r="M360" s="900" t="s">
        <v>322</v>
      </c>
      <c r="N360" s="744"/>
      <c r="O360" s="299"/>
      <c r="P360" s="299"/>
      <c r="Q360" s="299"/>
      <c r="R360" s="299"/>
      <c r="S360" s="299"/>
      <c r="T360" s="124"/>
      <c r="U360" s="298"/>
      <c r="V360"/>
      <c r="W360"/>
      <c r="X360"/>
      <c r="Y360" s="245"/>
      <c r="Z360" s="295"/>
      <c r="AA360" s="295"/>
      <c r="AB360" s="299"/>
      <c r="AC360" s="299"/>
      <c r="AD360" s="299"/>
      <c r="AE360" s="299"/>
      <c r="AF360" s="299"/>
      <c r="AG360" s="299"/>
      <c r="AH360" s="299"/>
      <c r="AI360" s="299"/>
      <c r="AJ360" s="299"/>
      <c r="AK360"/>
      <c r="AL360" s="124"/>
      <c r="AM360"/>
      <c r="AO360" s="123"/>
      <c r="AP360" s="123"/>
      <c r="AQ360" s="123"/>
      <c r="AR360" s="378"/>
    </row>
    <row r="361" spans="1:44" s="389" customFormat="1" x14ac:dyDescent="0.25">
      <c r="A361" s="262"/>
      <c r="B361" s="633" t="s">
        <v>28</v>
      </c>
      <c r="C361" s="637">
        <v>3323</v>
      </c>
      <c r="D361" s="641" t="s">
        <v>198</v>
      </c>
      <c r="E361" s="631"/>
      <c r="F361" s="811"/>
      <c r="G361" s="631"/>
      <c r="H361" s="631"/>
      <c r="I361" s="632"/>
      <c r="J361" s="627">
        <f t="shared" si="121"/>
        <v>0</v>
      </c>
      <c r="K361" s="733">
        <f>K217</f>
        <v>0</v>
      </c>
      <c r="L361" s="916">
        <v>45323</v>
      </c>
      <c r="M361" s="737">
        <v>45442</v>
      </c>
      <c r="N361" s="744"/>
      <c r="O361" s="299"/>
      <c r="P361" s="299"/>
      <c r="Q361" s="299"/>
      <c r="R361" s="299"/>
      <c r="S361" s="299"/>
      <c r="T361" s="124"/>
      <c r="U361" s="298"/>
      <c r="V361"/>
      <c r="W361"/>
      <c r="X361"/>
      <c r="Y361" s="245"/>
      <c r="Z361" s="295"/>
      <c r="AA361" s="295"/>
      <c r="AB361" s="299"/>
      <c r="AC361" s="299"/>
      <c r="AD361" s="299"/>
      <c r="AE361" s="299"/>
      <c r="AF361" s="299"/>
      <c r="AG361" s="299"/>
      <c r="AH361" s="299"/>
      <c r="AI361" s="299"/>
      <c r="AJ361" s="299"/>
      <c r="AK361"/>
      <c r="AL361" s="124"/>
      <c r="AM361"/>
      <c r="AO361" s="123"/>
      <c r="AP361" s="123"/>
      <c r="AQ361" s="123"/>
      <c r="AR361" s="378"/>
    </row>
    <row r="362" spans="1:44" s="389" customFormat="1" x14ac:dyDescent="0.25">
      <c r="A362" s="262"/>
      <c r="B362" s="633" t="s">
        <v>28</v>
      </c>
      <c r="C362" s="637">
        <v>3330</v>
      </c>
      <c r="D362" s="639" t="s">
        <v>199</v>
      </c>
      <c r="E362" s="631"/>
      <c r="F362" s="811"/>
      <c r="G362" s="631"/>
      <c r="H362" s="631"/>
      <c r="I362" s="632"/>
      <c r="J362" s="627">
        <f t="shared" si="121"/>
        <v>0</v>
      </c>
      <c r="K362" s="733">
        <f>K218</f>
        <v>0</v>
      </c>
      <c r="L362" s="916" t="s">
        <v>269</v>
      </c>
      <c r="M362" s="737" t="s">
        <v>266</v>
      </c>
      <c r="N362" s="776"/>
      <c r="O362" s="299" t="s">
        <v>33</v>
      </c>
      <c r="P362" s="299"/>
      <c r="Q362" s="299"/>
      <c r="R362" s="299"/>
      <c r="S362" s="299"/>
      <c r="T362" s="124"/>
      <c r="U362" s="298"/>
      <c r="V362"/>
      <c r="W362"/>
      <c r="X362"/>
      <c r="Y362" s="245"/>
      <c r="Z362" s="295"/>
      <c r="AA362" s="295"/>
      <c r="AB362" s="299"/>
      <c r="AC362" s="299"/>
      <c r="AD362" s="299"/>
      <c r="AE362" s="299"/>
      <c r="AF362" s="299"/>
      <c r="AG362" s="299"/>
      <c r="AH362" s="299"/>
      <c r="AI362" s="299"/>
      <c r="AJ362" s="299"/>
      <c r="AK362"/>
      <c r="AL362" s="124"/>
      <c r="AM362"/>
      <c r="AO362" s="123"/>
      <c r="AP362" s="123"/>
      <c r="AQ362" s="123"/>
      <c r="AR362" s="378"/>
    </row>
    <row r="363" spans="1:44" s="389" customFormat="1" ht="15.75" thickBot="1" x14ac:dyDescent="0.3">
      <c r="A363" s="262"/>
      <c r="B363" s="633" t="s">
        <v>28</v>
      </c>
      <c r="C363" s="794">
        <v>3335</v>
      </c>
      <c r="D363" s="795" t="s">
        <v>199</v>
      </c>
      <c r="E363" s="631"/>
      <c r="F363" s="811">
        <f>F222</f>
        <v>0</v>
      </c>
      <c r="G363" s="631">
        <f>G221</f>
        <v>0</v>
      </c>
      <c r="H363" s="631">
        <f>H220</f>
        <v>0</v>
      </c>
      <c r="I363" s="632">
        <f>I219</f>
        <v>0</v>
      </c>
      <c r="J363" s="627">
        <f t="shared" si="121"/>
        <v>0</v>
      </c>
      <c r="K363" s="733"/>
      <c r="L363" s="916" t="s">
        <v>275</v>
      </c>
      <c r="M363" s="737" t="s">
        <v>276</v>
      </c>
      <c r="N363" s="776"/>
      <c r="O363" s="299"/>
      <c r="P363" s="299"/>
      <c r="Q363" s="299"/>
      <c r="R363" s="299"/>
      <c r="S363" s="299"/>
      <c r="T363" s="124"/>
      <c r="U363" s="298"/>
      <c r="V363"/>
      <c r="W363"/>
      <c r="X363"/>
      <c r="Y363" s="245"/>
      <c r="Z363" s="295"/>
      <c r="AA363" s="295"/>
      <c r="AB363" s="299"/>
      <c r="AC363" s="299"/>
      <c r="AD363" s="299"/>
      <c r="AE363" s="299"/>
      <c r="AF363" s="299"/>
      <c r="AG363" s="299"/>
      <c r="AH363" s="299"/>
      <c r="AI363" s="299"/>
      <c r="AJ363" s="299"/>
      <c r="AK363"/>
      <c r="AL363" s="124"/>
      <c r="AM363"/>
      <c r="AO363" s="123"/>
      <c r="AP363" s="123"/>
      <c r="AQ363" s="123"/>
      <c r="AR363" s="378"/>
    </row>
    <row r="364" spans="1:44" s="389" customFormat="1" ht="15.75" thickBot="1" x14ac:dyDescent="0.3">
      <c r="A364" s="262"/>
      <c r="B364" s="444" t="s">
        <v>28</v>
      </c>
      <c r="C364" s="445" t="s">
        <v>24</v>
      </c>
      <c r="D364" s="446"/>
      <c r="E364" s="448">
        <f>SUM(E357:E363)</f>
        <v>0</v>
      </c>
      <c r="F364" s="802">
        <f t="shared" ref="F364:K364" si="125">SUM(F357:F363)</f>
        <v>105000</v>
      </c>
      <c r="G364" s="448">
        <f t="shared" si="125"/>
        <v>96000</v>
      </c>
      <c r="H364" s="448">
        <f t="shared" si="125"/>
        <v>0</v>
      </c>
      <c r="I364" s="448">
        <f t="shared" si="125"/>
        <v>0</v>
      </c>
      <c r="J364" s="449">
        <f t="shared" si="125"/>
        <v>201000</v>
      </c>
      <c r="K364" s="611">
        <f t="shared" si="125"/>
        <v>0</v>
      </c>
      <c r="L364" s="912"/>
      <c r="M364" s="448"/>
      <c r="N364" s="448"/>
      <c r="O364" s="299"/>
      <c r="P364" s="299"/>
      <c r="Q364" s="299"/>
      <c r="R364" s="299"/>
      <c r="S364" s="299"/>
      <c r="T364" s="124"/>
      <c r="U364" s="298"/>
      <c r="V364"/>
      <c r="W364"/>
      <c r="X364"/>
      <c r="Y364" s="245"/>
      <c r="Z364" s="295"/>
      <c r="AA364" s="295"/>
      <c r="AB364" s="299"/>
      <c r="AC364" s="299"/>
      <c r="AD364" s="299"/>
      <c r="AE364" s="299"/>
      <c r="AF364" s="299"/>
      <c r="AG364" s="299"/>
      <c r="AH364" s="299"/>
      <c r="AI364" s="299"/>
      <c r="AJ364" s="299"/>
      <c r="AK364"/>
      <c r="AL364" s="124"/>
      <c r="AM364"/>
      <c r="AO364" s="123"/>
      <c r="AP364" s="123"/>
      <c r="AQ364" s="123"/>
      <c r="AR364" s="378"/>
    </row>
    <row r="365" spans="1:44" s="389" customFormat="1" x14ac:dyDescent="0.25">
      <c r="A365" s="262"/>
      <c r="B365" s="633" t="s">
        <v>80</v>
      </c>
      <c r="C365" s="637">
        <v>809</v>
      </c>
      <c r="D365" s="638" t="s">
        <v>199</v>
      </c>
      <c r="E365" s="631">
        <f>E260</f>
        <v>0</v>
      </c>
      <c r="F365" s="811"/>
      <c r="G365" s="631"/>
      <c r="H365" s="631"/>
      <c r="I365" s="632"/>
      <c r="J365" s="627">
        <f t="shared" si="121"/>
        <v>0</v>
      </c>
      <c r="K365" s="1046"/>
      <c r="L365" s="916" t="s">
        <v>158</v>
      </c>
      <c r="M365" s="742" t="s">
        <v>157</v>
      </c>
      <c r="N365" s="744"/>
      <c r="O365" s="299"/>
      <c r="P365" s="299"/>
      <c r="Q365" s="299"/>
      <c r="R365" s="299"/>
      <c r="S365" s="299"/>
      <c r="T365" s="124"/>
      <c r="U365" s="298"/>
      <c r="V365"/>
      <c r="W365"/>
      <c r="X365"/>
      <c r="Y365" s="245"/>
      <c r="Z365" s="295"/>
      <c r="AA365" s="295"/>
      <c r="AB365" s="299"/>
      <c r="AC365" s="299"/>
      <c r="AD365" s="299"/>
      <c r="AE365" s="299"/>
      <c r="AF365" s="299"/>
      <c r="AG365" s="299"/>
      <c r="AH365" s="299"/>
      <c r="AI365" s="299"/>
      <c r="AJ365" s="299"/>
      <c r="AK365"/>
      <c r="AL365" s="124"/>
      <c r="AM365"/>
      <c r="AO365" s="123"/>
      <c r="AP365" s="123"/>
      <c r="AQ365" s="123"/>
      <c r="AR365" s="378"/>
    </row>
    <row r="366" spans="1:44" s="389" customFormat="1" x14ac:dyDescent="0.25">
      <c r="A366" s="262"/>
      <c r="B366" s="633" t="s">
        <v>80</v>
      </c>
      <c r="C366" s="637">
        <v>855</v>
      </c>
      <c r="D366" s="638" t="s">
        <v>199</v>
      </c>
      <c r="E366" s="631">
        <f>E263</f>
        <v>0</v>
      </c>
      <c r="F366" s="811"/>
      <c r="G366" s="631"/>
      <c r="H366" s="631"/>
      <c r="I366" s="632"/>
      <c r="J366" s="627">
        <f t="shared" si="121"/>
        <v>0</v>
      </c>
      <c r="K366" s="1046"/>
      <c r="L366" s="916" t="s">
        <v>178</v>
      </c>
      <c r="M366" s="742" t="s">
        <v>182</v>
      </c>
      <c r="N366" s="744"/>
      <c r="O366" s="299"/>
      <c r="P366" s="299"/>
      <c r="Q366" s="299"/>
      <c r="R366" s="299"/>
      <c r="S366" s="299"/>
      <c r="T366" s="124"/>
      <c r="U366" s="298"/>
      <c r="V366"/>
      <c r="W366"/>
      <c r="X366"/>
      <c r="Y366" s="245"/>
      <c r="Z366" s="295"/>
      <c r="AA366" s="295"/>
      <c r="AB366" s="299"/>
      <c r="AC366" s="299"/>
      <c r="AD366" s="299"/>
      <c r="AE366" s="299"/>
      <c r="AF366" s="299"/>
      <c r="AG366" s="299"/>
      <c r="AH366" s="299"/>
      <c r="AI366" s="299"/>
      <c r="AJ366" s="299"/>
      <c r="AK366"/>
      <c r="AL366" s="124"/>
      <c r="AM366"/>
      <c r="AO366" s="123"/>
      <c r="AP366" s="123"/>
      <c r="AQ366" s="123"/>
      <c r="AR366" s="378"/>
    </row>
    <row r="367" spans="1:44" s="389" customFormat="1" x14ac:dyDescent="0.25">
      <c r="A367" s="262"/>
      <c r="B367" s="633" t="s">
        <v>80</v>
      </c>
      <c r="C367" s="637">
        <v>3212</v>
      </c>
      <c r="D367" s="638" t="s">
        <v>215</v>
      </c>
      <c r="E367" s="631"/>
      <c r="F367" s="811">
        <f>F266</f>
        <v>3000</v>
      </c>
      <c r="G367" s="631"/>
      <c r="H367" s="631"/>
      <c r="I367" s="632"/>
      <c r="J367" s="627">
        <f t="shared" si="121"/>
        <v>3000</v>
      </c>
      <c r="K367" s="1046"/>
      <c r="L367" s="916" t="s">
        <v>188</v>
      </c>
      <c r="M367" s="742" t="s">
        <v>187</v>
      </c>
      <c r="N367" s="744"/>
      <c r="O367" s="299"/>
      <c r="P367" s="299"/>
      <c r="Q367" s="299"/>
      <c r="R367" s="299"/>
      <c r="S367" s="299"/>
      <c r="T367" s="124"/>
      <c r="U367" s="298"/>
      <c r="V367"/>
      <c r="W367"/>
      <c r="X367"/>
      <c r="Y367" s="245"/>
      <c r="Z367" s="295"/>
      <c r="AA367" s="295"/>
      <c r="AB367" s="299"/>
      <c r="AC367" s="299"/>
      <c r="AD367" s="299"/>
      <c r="AE367" s="299"/>
      <c r="AF367" s="299"/>
      <c r="AG367" s="299"/>
      <c r="AH367" s="299"/>
      <c r="AI367" s="299"/>
      <c r="AJ367" s="299"/>
      <c r="AK367"/>
      <c r="AL367" s="124"/>
      <c r="AM367"/>
      <c r="AO367" s="123"/>
      <c r="AP367" s="123"/>
      <c r="AQ367" s="123"/>
      <c r="AR367" s="378"/>
    </row>
    <row r="368" spans="1:44" s="389" customFormat="1" x14ac:dyDescent="0.25">
      <c r="A368" s="262"/>
      <c r="B368" s="633" t="s">
        <v>80</v>
      </c>
      <c r="C368" s="637">
        <v>3241</v>
      </c>
      <c r="D368" s="638" t="s">
        <v>198</v>
      </c>
      <c r="E368" s="631"/>
      <c r="F368" s="811">
        <f>F268</f>
        <v>0</v>
      </c>
      <c r="G368" s="631">
        <f>G269</f>
        <v>0</v>
      </c>
      <c r="H368" s="631">
        <f>H270</f>
        <v>0</v>
      </c>
      <c r="I368" s="188">
        <f>I271</f>
        <v>0</v>
      </c>
      <c r="J368" s="627">
        <f>SUM(F368:I368)</f>
        <v>0</v>
      </c>
      <c r="K368" s="733">
        <f>K267</f>
        <v>0</v>
      </c>
      <c r="L368" s="916" t="s">
        <v>193</v>
      </c>
      <c r="M368" s="742" t="s">
        <v>187</v>
      </c>
      <c r="N368" s="744"/>
      <c r="O368" s="299"/>
      <c r="P368" s="299"/>
      <c r="Q368" s="299"/>
      <c r="R368" s="299"/>
      <c r="S368" s="299"/>
      <c r="T368" s="124"/>
      <c r="U368" s="298"/>
      <c r="V368"/>
      <c r="W368"/>
      <c r="X368"/>
      <c r="Y368" s="245"/>
      <c r="Z368" s="295"/>
      <c r="AA368" s="295"/>
      <c r="AB368" s="299"/>
      <c r="AC368" s="299"/>
      <c r="AD368" s="299"/>
      <c r="AE368" s="299"/>
      <c r="AF368" s="299"/>
      <c r="AG368" s="299"/>
      <c r="AH368" s="299"/>
      <c r="AI368" s="299"/>
      <c r="AJ368" s="299"/>
      <c r="AK368"/>
      <c r="AL368" s="124"/>
      <c r="AM368"/>
      <c r="AO368" s="123"/>
      <c r="AP368" s="123"/>
      <c r="AQ368" s="123"/>
      <c r="AR368" s="378"/>
    </row>
    <row r="369" spans="1:40" s="382" customFormat="1" x14ac:dyDescent="0.25">
      <c r="A369" s="262"/>
      <c r="B369" s="633" t="s">
        <v>80</v>
      </c>
      <c r="C369" s="637">
        <v>3271</v>
      </c>
      <c r="D369" s="638" t="s">
        <v>199</v>
      </c>
      <c r="E369" s="631"/>
      <c r="F369" s="811"/>
      <c r="G369" s="631"/>
      <c r="H369" s="631"/>
      <c r="I369" s="632"/>
      <c r="J369" s="627">
        <f t="shared" si="121"/>
        <v>0</v>
      </c>
      <c r="K369" s="733">
        <f>K281</f>
        <v>0</v>
      </c>
      <c r="L369" s="1040">
        <v>45279</v>
      </c>
      <c r="M369" s="743">
        <v>45381</v>
      </c>
      <c r="N369" s="744"/>
      <c r="O369" s="299"/>
      <c r="P369" s="299"/>
      <c r="Q369" s="299"/>
      <c r="R369" s="299"/>
      <c r="S369" s="299"/>
      <c r="T369" s="124"/>
      <c r="U369" s="298"/>
      <c r="V369"/>
      <c r="W369"/>
      <c r="X369"/>
      <c r="Y369" s="245"/>
      <c r="Z369" s="295"/>
      <c r="AA369" s="295"/>
      <c r="AB369" s="299"/>
      <c r="AC369" s="299"/>
      <c r="AD369" s="299"/>
      <c r="AE369" s="299"/>
      <c r="AF369" s="299"/>
      <c r="AG369" s="299"/>
      <c r="AH369" s="299"/>
      <c r="AI369" s="299"/>
      <c r="AJ369" s="299"/>
      <c r="AK369"/>
      <c r="AL369" s="124"/>
      <c r="AM369"/>
      <c r="AN369" s="381"/>
    </row>
    <row r="370" spans="1:40" s="382" customFormat="1" x14ac:dyDescent="0.25">
      <c r="A370" s="262"/>
      <c r="B370" s="633" t="s">
        <v>80</v>
      </c>
      <c r="C370" s="732">
        <v>3289</v>
      </c>
      <c r="D370" s="628" t="s">
        <v>199</v>
      </c>
      <c r="E370" s="631"/>
      <c r="F370" s="811">
        <f>F285</f>
        <v>0</v>
      </c>
      <c r="G370" s="631">
        <f>G286</f>
        <v>0</v>
      </c>
      <c r="H370" s="631">
        <f>H287</f>
        <v>0</v>
      </c>
      <c r="I370" s="188">
        <f>I288</f>
        <v>0</v>
      </c>
      <c r="J370" s="627">
        <f t="shared" si="121"/>
        <v>0</v>
      </c>
      <c r="K370" s="733"/>
      <c r="L370" s="916" t="s">
        <v>247</v>
      </c>
      <c r="M370" s="737" t="s">
        <v>248</v>
      </c>
      <c r="N370" s="744"/>
      <c r="O370" s="299"/>
      <c r="P370" s="299"/>
      <c r="Q370" s="299"/>
      <c r="R370" s="299"/>
      <c r="S370" s="299"/>
      <c r="T370" s="124"/>
      <c r="U370" s="298"/>
      <c r="V370"/>
      <c r="W370"/>
      <c r="X370"/>
      <c r="Y370" s="245"/>
      <c r="Z370" s="295"/>
      <c r="AA370" s="295"/>
      <c r="AB370" s="299"/>
      <c r="AC370" s="299"/>
      <c r="AD370" s="299"/>
      <c r="AE370" s="299"/>
      <c r="AF370" s="299"/>
      <c r="AG370" s="299"/>
      <c r="AH370" s="299"/>
      <c r="AI370" s="299"/>
      <c r="AJ370" s="299"/>
      <c r="AK370"/>
      <c r="AL370" s="124"/>
      <c r="AM370"/>
      <c r="AN370" s="381"/>
    </row>
    <row r="371" spans="1:40" s="382" customFormat="1" x14ac:dyDescent="0.25">
      <c r="A371" s="262"/>
      <c r="B371" s="633" t="s">
        <v>80</v>
      </c>
      <c r="C371" s="732">
        <v>3292</v>
      </c>
      <c r="D371" s="628" t="s">
        <v>215</v>
      </c>
      <c r="E371" s="631"/>
      <c r="F371" s="811"/>
      <c r="G371" s="631"/>
      <c r="H371" s="631"/>
      <c r="I371" s="632"/>
      <c r="J371" s="627">
        <f t="shared" si="121"/>
        <v>0</v>
      </c>
      <c r="K371" s="733">
        <f>K289</f>
        <v>0</v>
      </c>
      <c r="L371" s="916" t="s">
        <v>249</v>
      </c>
      <c r="M371" s="737" t="s">
        <v>248</v>
      </c>
      <c r="N371" s="744"/>
      <c r="O371" s="299"/>
      <c r="P371" s="299"/>
      <c r="Q371" s="299"/>
      <c r="R371" s="299"/>
      <c r="S371" s="299"/>
      <c r="T371" s="124"/>
      <c r="U371" s="298"/>
      <c r="V371"/>
      <c r="W371"/>
      <c r="X371"/>
      <c r="Y371" s="245"/>
      <c r="Z371" s="295"/>
      <c r="AA371" s="295"/>
      <c r="AB371" s="299"/>
      <c r="AC371" s="299"/>
      <c r="AD371" s="299"/>
      <c r="AE371" s="299"/>
      <c r="AF371" s="299"/>
      <c r="AG371" s="299"/>
      <c r="AH371" s="299"/>
      <c r="AI371" s="299"/>
      <c r="AJ371" s="299"/>
      <c r="AK371"/>
      <c r="AL371" s="124"/>
      <c r="AM371"/>
      <c r="AN371" s="381"/>
    </row>
    <row r="372" spans="1:40" s="382" customFormat="1" x14ac:dyDescent="0.25">
      <c r="A372" s="262"/>
      <c r="B372" s="633" t="s">
        <v>80</v>
      </c>
      <c r="C372" s="732">
        <v>3306</v>
      </c>
      <c r="D372" s="628" t="s">
        <v>199</v>
      </c>
      <c r="E372" s="818"/>
      <c r="F372" s="811">
        <f>F291</f>
        <v>0</v>
      </c>
      <c r="G372" s="631">
        <f>G290</f>
        <v>0</v>
      </c>
      <c r="H372" s="631">
        <f>H292</f>
        <v>0</v>
      </c>
      <c r="I372" s="632">
        <f>I293</f>
        <v>0</v>
      </c>
      <c r="J372" s="627">
        <f>SUM(F372:I372)</f>
        <v>0</v>
      </c>
      <c r="K372" s="733"/>
      <c r="L372" s="916" t="s">
        <v>281</v>
      </c>
      <c r="M372" s="737" t="s">
        <v>266</v>
      </c>
      <c r="N372" s="744"/>
      <c r="O372" s="299"/>
      <c r="P372" s="299"/>
      <c r="Q372" s="299"/>
      <c r="R372" s="299"/>
      <c r="S372" s="299"/>
      <c r="T372" s="124"/>
      <c r="U372" s="298"/>
      <c r="V372"/>
      <c r="W372"/>
      <c r="X372"/>
      <c r="Y372" s="245"/>
      <c r="Z372" s="295"/>
      <c r="AA372" s="295"/>
      <c r="AB372" s="299"/>
      <c r="AC372" s="299"/>
      <c r="AD372" s="299"/>
      <c r="AE372" s="299"/>
      <c r="AF372" s="299"/>
      <c r="AG372" s="299"/>
      <c r="AH372" s="299"/>
      <c r="AI372" s="299"/>
      <c r="AJ372" s="299"/>
      <c r="AK372"/>
      <c r="AL372" s="124"/>
      <c r="AM372"/>
      <c r="AN372" s="381"/>
    </row>
    <row r="373" spans="1:40" s="382" customFormat="1" ht="15.75" thickBot="1" x14ac:dyDescent="0.3">
      <c r="A373" s="262"/>
      <c r="B373" s="633" t="s">
        <v>80</v>
      </c>
      <c r="C373" s="732" t="s">
        <v>338</v>
      </c>
      <c r="D373" s="796" t="s">
        <v>198</v>
      </c>
      <c r="E373" s="797">
        <f>E300</f>
        <v>0</v>
      </c>
      <c r="F373" s="811"/>
      <c r="G373" s="631">
        <f>G295</f>
        <v>0</v>
      </c>
      <c r="H373" s="631">
        <f>H296</f>
        <v>0</v>
      </c>
      <c r="I373" s="632">
        <f>I297</f>
        <v>0</v>
      </c>
      <c r="J373" s="627">
        <f>SUM(F373:I373)</f>
        <v>0</v>
      </c>
      <c r="K373" s="1047">
        <f>K294</f>
        <v>0</v>
      </c>
      <c r="L373" s="900" t="s">
        <v>321</v>
      </c>
      <c r="M373" s="917" t="s">
        <v>322</v>
      </c>
      <c r="N373" s="744"/>
      <c r="O373" s="299"/>
      <c r="P373" s="299"/>
      <c r="Q373" s="299"/>
      <c r="R373" s="299"/>
      <c r="S373" s="299"/>
      <c r="T373" s="124"/>
      <c r="U373" s="298"/>
      <c r="V373"/>
      <c r="W373"/>
      <c r="X373"/>
      <c r="Y373" s="245"/>
      <c r="Z373" s="295"/>
      <c r="AA373" s="295"/>
      <c r="AB373" s="299"/>
      <c r="AC373" s="299"/>
      <c r="AD373" s="299"/>
      <c r="AE373" s="299"/>
      <c r="AF373" s="299"/>
      <c r="AG373" s="299"/>
      <c r="AH373" s="299"/>
      <c r="AI373" s="299"/>
      <c r="AJ373" s="299"/>
      <c r="AK373"/>
      <c r="AL373" s="124"/>
      <c r="AM373"/>
      <c r="AN373" s="381"/>
    </row>
    <row r="374" spans="1:40" s="30" customFormat="1" ht="15.75" thickBot="1" x14ac:dyDescent="0.3">
      <c r="A374" s="262"/>
      <c r="B374" s="444" t="s">
        <v>80</v>
      </c>
      <c r="C374" s="445" t="s">
        <v>24</v>
      </c>
      <c r="D374" s="446"/>
      <c r="E374" s="448">
        <f t="shared" ref="E374:K374" si="126">SUM(E365:E373)</f>
        <v>0</v>
      </c>
      <c r="F374" s="802">
        <f t="shared" si="126"/>
        <v>3000</v>
      </c>
      <c r="G374" s="802">
        <f t="shared" si="126"/>
        <v>0</v>
      </c>
      <c r="H374" s="802">
        <f t="shared" si="126"/>
        <v>0</v>
      </c>
      <c r="I374" s="802">
        <f t="shared" si="126"/>
        <v>0</v>
      </c>
      <c r="J374" s="817">
        <f>SUM(J365:J373)</f>
        <v>3000</v>
      </c>
      <c r="K374" s="1044">
        <f t="shared" si="126"/>
        <v>0</v>
      </c>
      <c r="L374" s="448"/>
      <c r="M374" s="448"/>
      <c r="N374" s="448"/>
      <c r="O374" s="299"/>
      <c r="P374" s="299"/>
      <c r="Q374" s="299"/>
      <c r="R374" s="299"/>
      <c r="S374" s="124"/>
      <c r="T374" s="298"/>
      <c r="U374"/>
      <c r="V374"/>
      <c r="W374"/>
      <c r="X374" s="245"/>
      <c r="Y374" s="295"/>
      <c r="Z374" s="124"/>
      <c r="AA374" s="295"/>
      <c r="AB374" s="299"/>
      <c r="AC374" s="299"/>
      <c r="AD374" s="299"/>
      <c r="AE374" s="299"/>
      <c r="AF374" s="299"/>
      <c r="AG374" s="299"/>
      <c r="AH374" s="299"/>
      <c r="AI374" s="299"/>
      <c r="AJ374"/>
      <c r="AK374" s="124"/>
      <c r="AL374"/>
    </row>
    <row r="375" spans="1:40" s="30" customFormat="1" ht="15.75" thickBot="1" x14ac:dyDescent="0.3">
      <c r="A375" s="262"/>
      <c r="B375" s="244"/>
      <c r="C375" s="642" t="s">
        <v>169</v>
      </c>
      <c r="D375" s="643"/>
      <c r="E375" s="644">
        <f>E343+E351+E356+E364+E374</f>
        <v>125000</v>
      </c>
      <c r="F375" s="812">
        <f t="shared" ref="F375:K375" si="127">F343+F351+F356+F364+F374</f>
        <v>108000</v>
      </c>
      <c r="G375" s="644">
        <f>G343+G351+G356+G364+G374</f>
        <v>96000</v>
      </c>
      <c r="H375" s="644">
        <f t="shared" si="127"/>
        <v>2160</v>
      </c>
      <c r="I375" s="644">
        <f t="shared" si="127"/>
        <v>2160</v>
      </c>
      <c r="J375" s="645">
        <f>J343+J351+J356+J364+J374</f>
        <v>208320</v>
      </c>
      <c r="K375" s="644">
        <f t="shared" si="127"/>
        <v>0</v>
      </c>
      <c r="L375" s="299"/>
      <c r="M375" s="299"/>
      <c r="N375" s="299"/>
      <c r="O375" s="299"/>
      <c r="P375" s="299"/>
      <c r="Q375" s="299"/>
      <c r="R375" s="299"/>
      <c r="S375" s="124"/>
      <c r="T375" s="298"/>
      <c r="U375"/>
      <c r="V375"/>
      <c r="W375"/>
      <c r="X375" s="245"/>
      <c r="Y375" s="295"/>
      <c r="Z375" s="124"/>
      <c r="AA375" s="295"/>
      <c r="AB375" s="299"/>
      <c r="AC375" s="299"/>
      <c r="AD375" s="299"/>
      <c r="AE375" s="299"/>
      <c r="AF375" s="299"/>
      <c r="AG375" s="299"/>
      <c r="AH375" s="299"/>
      <c r="AI375" s="299"/>
      <c r="AJ375"/>
      <c r="AK375" s="124"/>
      <c r="AL375"/>
    </row>
    <row r="376" spans="1:40" s="30" customFormat="1" ht="15" customHeight="1" x14ac:dyDescent="0.25">
      <c r="A376" s="262"/>
      <c r="B376" s="244"/>
      <c r="C376" s="650"/>
      <c r="D376" s="651"/>
      <c r="E376" s="752" t="s">
        <v>30</v>
      </c>
      <c r="F376" s="815" t="s">
        <v>90</v>
      </c>
      <c r="G376" s="754" t="s">
        <v>91</v>
      </c>
      <c r="H376" s="754" t="s">
        <v>92</v>
      </c>
      <c r="I376" s="754" t="s">
        <v>93</v>
      </c>
      <c r="J376" s="757" t="s">
        <v>94</v>
      </c>
      <c r="K376" s="759" t="s">
        <v>46</v>
      </c>
      <c r="L376" s="760" t="s">
        <v>220</v>
      </c>
      <c r="M376" s="299" t="s">
        <v>340</v>
      </c>
      <c r="N376" s="299" t="s">
        <v>341</v>
      </c>
      <c r="O376" s="299" t="s">
        <v>342</v>
      </c>
      <c r="P376" s="299"/>
      <c r="Q376" s="299"/>
      <c r="R376" s="299"/>
      <c r="S376" s="124"/>
      <c r="T376" s="298"/>
      <c r="U376"/>
      <c r="V376"/>
      <c r="W376"/>
      <c r="X376" s="245"/>
      <c r="Y376" s="295"/>
      <c r="Z376" s="124"/>
      <c r="AA376" s="295"/>
      <c r="AB376" s="299"/>
      <c r="AC376" s="299"/>
      <c r="AD376" s="299"/>
      <c r="AE376" s="299"/>
      <c r="AF376" s="299"/>
      <c r="AG376" s="299"/>
      <c r="AH376" s="299"/>
      <c r="AI376" s="299"/>
      <c r="AJ376"/>
      <c r="AK376" s="124"/>
      <c r="AL376"/>
    </row>
    <row r="377" spans="1:40" s="30" customFormat="1" x14ac:dyDescent="0.25">
      <c r="A377" s="262"/>
      <c r="B377" s="244"/>
      <c r="C377" s="652"/>
      <c r="D377" s="652"/>
      <c r="E377" s="761"/>
      <c r="F377" s="761"/>
      <c r="G377" s="761"/>
      <c r="H377" s="761"/>
      <c r="I377" s="761"/>
      <c r="J377" s="886"/>
      <c r="K377" s="761"/>
      <c r="L377" s="761"/>
      <c r="M377" s="299" t="s">
        <v>339</v>
      </c>
      <c r="N377" s="298"/>
      <c r="O377"/>
      <c r="P377"/>
      <c r="Q377" s="245"/>
      <c r="R377" s="295"/>
      <c r="S377" s="124"/>
      <c r="T377" s="299"/>
      <c r="U377" s="299"/>
      <c r="V377" s="299"/>
      <c r="W377" s="299"/>
      <c r="X377" s="299"/>
      <c r="Y377" s="299"/>
      <c r="Z377" s="299"/>
      <c r="AA377" s="295"/>
      <c r="AB377" s="299"/>
      <c r="AC377"/>
      <c r="AD377" s="124"/>
      <c r="AE377"/>
    </row>
    <row r="378" spans="1:40" s="30" customFormat="1" x14ac:dyDescent="0.25">
      <c r="A378" s="262"/>
      <c r="B378" s="244"/>
      <c r="C378" s="756" t="s">
        <v>198</v>
      </c>
      <c r="D378" s="756"/>
      <c r="E378" s="649">
        <f t="shared" ref="E378:K378" si="128">SUMIF($D$338:$D$373,"Borneo",E$338:E$373)</f>
        <v>125000</v>
      </c>
      <c r="F378" s="649">
        <f t="shared" si="128"/>
        <v>105000</v>
      </c>
      <c r="G378" s="649">
        <f t="shared" si="128"/>
        <v>96000</v>
      </c>
      <c r="H378" s="649">
        <f t="shared" si="128"/>
        <v>0</v>
      </c>
      <c r="I378" s="649">
        <f t="shared" si="128"/>
        <v>0</v>
      </c>
      <c r="J378" s="887">
        <f t="shared" si="128"/>
        <v>201000</v>
      </c>
      <c r="K378" s="649">
        <f t="shared" si="128"/>
        <v>0</v>
      </c>
      <c r="L378" s="653">
        <f>F378+(G378*2)+(H378*3)+(I378*4)</f>
        <v>297000</v>
      </c>
      <c r="M378" s="895">
        <f>L378/566667</f>
        <v>0.52411733875450661</v>
      </c>
      <c r="N378" s="919">
        <f>E378/333333</f>
        <v>0.37500037500037497</v>
      </c>
      <c r="O378" s="918">
        <f>K378/1391666.66666667</f>
        <v>0</v>
      </c>
      <c r="P378" s="299"/>
      <c r="Q378" s="299"/>
      <c r="R378" s="299"/>
      <c r="S378" s="299"/>
      <c r="T378" s="124"/>
      <c r="U378" s="298"/>
      <c r="V378"/>
      <c r="W378"/>
      <c r="X378"/>
      <c r="Y378" s="245"/>
      <c r="Z378" s="295"/>
      <c r="AA378" s="295"/>
      <c r="AB378" s="299"/>
      <c r="AC378" s="299"/>
      <c r="AD378" s="299"/>
      <c r="AE378" s="299"/>
      <c r="AF378" s="299"/>
      <c r="AG378" s="299"/>
      <c r="AH378" s="299"/>
      <c r="AI378" s="299"/>
      <c r="AJ378" s="299"/>
      <c r="AK378"/>
      <c r="AL378" s="124"/>
      <c r="AM378"/>
    </row>
    <row r="379" spans="1:40" s="382" customFormat="1" x14ac:dyDescent="0.25">
      <c r="A379" s="262"/>
      <c r="B379" s="244"/>
      <c r="C379" s="756" t="s">
        <v>199</v>
      </c>
      <c r="D379" s="756"/>
      <c r="E379" s="649">
        <f t="shared" ref="E379:K379" si="129">SUMIF($D$338:$D$373,"Modern",E$338:E$373)</f>
        <v>0</v>
      </c>
      <c r="F379" s="649">
        <f t="shared" si="129"/>
        <v>0</v>
      </c>
      <c r="G379" s="649">
        <f t="shared" si="129"/>
        <v>0</v>
      </c>
      <c r="H379" s="649">
        <f t="shared" si="129"/>
        <v>2160</v>
      </c>
      <c r="I379" s="649">
        <f t="shared" si="129"/>
        <v>2160</v>
      </c>
      <c r="J379" s="887">
        <f t="shared" si="129"/>
        <v>4320</v>
      </c>
      <c r="K379" s="649">
        <f t="shared" si="129"/>
        <v>0</v>
      </c>
      <c r="L379" s="653">
        <f>F379+(G379*2)+(H379*3)+(I379*4)</f>
        <v>15120</v>
      </c>
      <c r="M379" s="895">
        <f>L379/566667</f>
        <v>2.6682337245683974E-2</v>
      </c>
      <c r="N379" s="919">
        <f>E379/333333</f>
        <v>0</v>
      </c>
      <c r="O379" s="918">
        <f>K379/1391666.66666667</f>
        <v>0</v>
      </c>
      <c r="P379" s="299"/>
      <c r="Q379" s="299"/>
      <c r="R379" s="299"/>
      <c r="S379" s="299"/>
      <c r="T379" s="124"/>
      <c r="U379" s="298"/>
      <c r="V379"/>
      <c r="W379"/>
      <c r="X379"/>
      <c r="Y379" s="245"/>
      <c r="Z379" s="295"/>
      <c r="AA379" s="295"/>
      <c r="AB379" s="299"/>
      <c r="AC379" s="299"/>
      <c r="AD379" s="299"/>
      <c r="AE379" s="299"/>
      <c r="AF379" s="299"/>
      <c r="AG379" s="299"/>
      <c r="AH379" s="299"/>
      <c r="AI379" s="299"/>
      <c r="AJ379" s="299"/>
      <c r="AK379"/>
      <c r="AL379" s="124"/>
      <c r="AM379"/>
    </row>
    <row r="380" spans="1:40" s="382" customFormat="1" x14ac:dyDescent="0.25">
      <c r="A380" s="262"/>
      <c r="B380" s="244"/>
      <c r="C380" s="756" t="s">
        <v>215</v>
      </c>
      <c r="D380" s="756"/>
      <c r="E380" s="649">
        <f>SUMIF($D$338:$D$373,"CPL",E$338:E$373)</f>
        <v>0</v>
      </c>
      <c r="F380" s="649">
        <f t="shared" ref="F380:K380" si="130">SUMIF($D$338:$D$373,"CPL",F$338:F$373)</f>
        <v>3000</v>
      </c>
      <c r="G380" s="649">
        <f t="shared" si="130"/>
        <v>0</v>
      </c>
      <c r="H380" s="649">
        <f t="shared" si="130"/>
        <v>0</v>
      </c>
      <c r="I380" s="649">
        <f t="shared" si="130"/>
        <v>0</v>
      </c>
      <c r="J380" s="887">
        <f t="shared" si="130"/>
        <v>3000</v>
      </c>
      <c r="K380" s="649">
        <f t="shared" si="130"/>
        <v>0</v>
      </c>
      <c r="L380" s="653">
        <f>F380+(G380*2)+(H380*3)+(I380*4)</f>
        <v>3000</v>
      </c>
      <c r="M380" s="895">
        <f>L380/566667</f>
        <v>5.294114532873804E-3</v>
      </c>
      <c r="N380" s="919">
        <f>E380/333333</f>
        <v>0</v>
      </c>
      <c r="O380" s="918">
        <f>K380/1391666.66666667</f>
        <v>0</v>
      </c>
      <c r="P380" s="299"/>
      <c r="Q380" s="299"/>
      <c r="R380" s="299"/>
      <c r="S380" s="299"/>
      <c r="T380" s="299"/>
      <c r="U380" s="124"/>
      <c r="V380" s="298"/>
      <c r="W380"/>
      <c r="X380"/>
      <c r="Y380"/>
      <c r="Z380" s="245"/>
      <c r="AA380" s="295"/>
      <c r="AB380" s="124"/>
      <c r="AC380" s="299"/>
      <c r="AD380" s="299"/>
      <c r="AE380" s="299"/>
      <c r="AF380" s="299"/>
      <c r="AG380" s="299"/>
      <c r="AH380" s="299"/>
      <c r="AI380" s="299"/>
      <c r="AJ380" s="299"/>
      <c r="AK380" s="299"/>
      <c r="AL380"/>
      <c r="AM380" s="124"/>
      <c r="AN380"/>
    </row>
    <row r="381" spans="1:40" s="379" customFormat="1" x14ac:dyDescent="0.25">
      <c r="A381" s="262"/>
      <c r="B381" s="244"/>
      <c r="C381" s="756" t="s">
        <v>219</v>
      </c>
      <c r="D381" s="756"/>
      <c r="E381" s="649">
        <f t="shared" ref="E381:K381" si="131">SUMIF($D$338:$D$373,"Supreme",E$338:E$373)</f>
        <v>0</v>
      </c>
      <c r="F381" s="649">
        <f t="shared" si="131"/>
        <v>0</v>
      </c>
      <c r="G381" s="649">
        <f t="shared" si="131"/>
        <v>0</v>
      </c>
      <c r="H381" s="649">
        <f t="shared" si="131"/>
        <v>0</v>
      </c>
      <c r="I381" s="649">
        <f t="shared" si="131"/>
        <v>0</v>
      </c>
      <c r="J381" s="887">
        <f t="shared" si="131"/>
        <v>0</v>
      </c>
      <c r="K381" s="649">
        <f t="shared" si="131"/>
        <v>0</v>
      </c>
      <c r="L381" s="653">
        <f>F381+(G381*2)+(H381*3)+(I381*4)</f>
        <v>0</v>
      </c>
      <c r="M381" s="895">
        <f>L381/566667</f>
        <v>0</v>
      </c>
      <c r="N381" s="919">
        <f>E381/333333</f>
        <v>0</v>
      </c>
      <c r="O381" s="918">
        <f>K381/1391666.66666667</f>
        <v>0</v>
      </c>
      <c r="P381" s="299"/>
      <c r="Q381" s="299"/>
      <c r="R381" s="299"/>
      <c r="S381" s="299"/>
      <c r="T381" s="299"/>
      <c r="U381" s="124"/>
      <c r="V381" s="298"/>
      <c r="W381"/>
      <c r="X381"/>
      <c r="Y381"/>
      <c r="Z381" s="245"/>
      <c r="AA381" s="295"/>
      <c r="AB381" s="124"/>
      <c r="AC381" s="299"/>
      <c r="AD381" s="299"/>
      <c r="AE381" s="299"/>
      <c r="AF381" s="299"/>
      <c r="AG381" s="299"/>
      <c r="AH381" s="299"/>
      <c r="AI381" s="299"/>
      <c r="AJ381" s="299"/>
      <c r="AK381" s="299"/>
      <c r="AL381"/>
      <c r="AM381" s="124"/>
      <c r="AN381"/>
    </row>
    <row r="382" spans="1:40" s="379" customFormat="1" x14ac:dyDescent="0.25">
      <c r="A382" s="262"/>
      <c r="B382" s="244"/>
      <c r="C382" s="428"/>
      <c r="D382" s="428" t="s">
        <v>371</v>
      </c>
      <c r="E382" s="298">
        <f>SUM(E378:E381)</f>
        <v>125000</v>
      </c>
      <c r="F382" s="813"/>
      <c r="G382"/>
      <c r="H382"/>
      <c r="I382" s="245"/>
      <c r="J382" s="295"/>
      <c r="K382" s="901">
        <f>SUM(K378:K381)</f>
        <v>0</v>
      </c>
      <c r="L382" s="299"/>
      <c r="M382" s="401">
        <f>SUM(M378:M381)</f>
        <v>0.55609379053306429</v>
      </c>
      <c r="N382" s="401">
        <f>SUM(N378:N381)</f>
        <v>0.37500037500037497</v>
      </c>
      <c r="O382" s="401">
        <f>SUM(O378:O381)</f>
        <v>0</v>
      </c>
      <c r="P382" s="299"/>
      <c r="Q382" s="299"/>
      <c r="R382" s="299"/>
      <c r="S382" s="299"/>
      <c r="T382" s="299"/>
      <c r="U382" s="124"/>
      <c r="V382" s="298"/>
      <c r="W382"/>
      <c r="X382"/>
      <c r="Y382"/>
      <c r="Z382" s="245"/>
      <c r="AA382" s="295"/>
      <c r="AB382" s="124"/>
      <c r="AC382" s="299"/>
      <c r="AD382" s="299"/>
      <c r="AE382" s="299"/>
      <c r="AF382" s="299"/>
      <c r="AG382" s="299"/>
      <c r="AH382" s="299"/>
      <c r="AI382" s="299"/>
      <c r="AJ382" s="299"/>
      <c r="AK382" s="299"/>
      <c r="AL382"/>
      <c r="AM382" s="124"/>
      <c r="AN382"/>
    </row>
    <row r="383" spans="1:40" s="379" customFormat="1" x14ac:dyDescent="0.25">
      <c r="A383" s="262"/>
      <c r="B383" s="244"/>
      <c r="C383" s="428"/>
      <c r="D383" s="428"/>
      <c r="E383" s="902">
        <f>E382/333333</f>
        <v>0.37500037500037497</v>
      </c>
      <c r="F383" s="814"/>
      <c r="G383" s="299"/>
      <c r="H383" s="299"/>
      <c r="I383" s="299"/>
      <c r="J383" s="295"/>
      <c r="K383" s="400">
        <f>K382/1391666.66666667</f>
        <v>0</v>
      </c>
      <c r="L383" s="299"/>
      <c r="M383" s="299"/>
      <c r="N383" s="124"/>
      <c r="O383" s="298"/>
      <c r="P383"/>
      <c r="Q383"/>
      <c r="R383"/>
      <c r="S383" s="245"/>
      <c r="T383" s="295"/>
      <c r="U383" s="124"/>
      <c r="V383" s="299"/>
      <c r="W383" s="299"/>
      <c r="X383" s="299"/>
      <c r="Y383" s="299"/>
      <c r="Z383" s="299"/>
      <c r="AA383" s="295"/>
      <c r="AB383" s="299"/>
      <c r="AC383" s="299"/>
      <c r="AD383" s="299"/>
      <c r="AE383"/>
      <c r="AF383" s="124"/>
      <c r="AG383"/>
    </row>
    <row r="384" spans="1:40" s="379" customFormat="1" x14ac:dyDescent="0.25">
      <c r="A384" s="262"/>
      <c r="B384" s="244"/>
      <c r="C384" s="428"/>
      <c r="D384" s="428"/>
      <c r="E384" s="298"/>
      <c r="F384" s="813"/>
      <c r="G384"/>
      <c r="H384"/>
      <c r="I384" s="245"/>
      <c r="J384" s="295"/>
      <c r="K384" s="124"/>
      <c r="L384" s="299"/>
      <c r="M384" s="299"/>
      <c r="N384" s="299"/>
      <c r="O384" s="299"/>
      <c r="P384" s="299"/>
      <c r="Q384" s="299"/>
      <c r="R384" s="299"/>
      <c r="S384" s="299"/>
      <c r="T384" s="299"/>
      <c r="U384" s="124"/>
      <c r="V384" s="298"/>
      <c r="W384"/>
      <c r="X384"/>
      <c r="Y384"/>
      <c r="Z384" s="245"/>
      <c r="AA384" s="295"/>
      <c r="AB384" s="124"/>
      <c r="AC384" s="299"/>
      <c r="AD384" s="299"/>
      <c r="AE384" s="299"/>
      <c r="AF384" s="299"/>
      <c r="AG384" s="299"/>
      <c r="AH384" s="299"/>
      <c r="AI384" s="299"/>
      <c r="AJ384" s="299"/>
      <c r="AK384" s="299"/>
      <c r="AL384"/>
      <c r="AM384" s="124"/>
      <c r="AN384"/>
    </row>
    <row r="385" spans="1:40" s="379" customFormat="1" x14ac:dyDescent="0.25">
      <c r="A385" s="262"/>
      <c r="B385" s="244"/>
      <c r="C385" s="428"/>
      <c r="D385" s="428"/>
      <c r="E385" s="298"/>
      <c r="F385" s="813"/>
      <c r="G385"/>
      <c r="H385"/>
      <c r="I385" s="245"/>
      <c r="J385" s="295"/>
      <c r="K385" s="124"/>
      <c r="L385" s="299"/>
      <c r="M385" s="299"/>
      <c r="N385" s="299"/>
      <c r="O385" s="299"/>
      <c r="P385" s="299"/>
      <c r="Q385" s="299"/>
      <c r="R385" s="299"/>
      <c r="S385" s="299"/>
      <c r="T385" s="299"/>
      <c r="U385" s="124"/>
      <c r="V385" s="298"/>
      <c r="W385"/>
      <c r="X385"/>
      <c r="Y385"/>
      <c r="Z385" s="245"/>
      <c r="AA385" s="295"/>
      <c r="AB385" s="124"/>
      <c r="AC385" s="299"/>
      <c r="AD385" s="299"/>
      <c r="AE385" s="299"/>
      <c r="AF385" s="299"/>
      <c r="AG385" s="299"/>
      <c r="AH385" s="299"/>
      <c r="AI385" s="299"/>
      <c r="AJ385" s="299"/>
      <c r="AK385" s="299"/>
      <c r="AL385"/>
      <c r="AM385" s="124"/>
      <c r="AN385"/>
    </row>
    <row r="386" spans="1:40" s="382" customFormat="1" x14ac:dyDescent="0.25">
      <c r="A386" s="262"/>
      <c r="B386" s="244"/>
      <c r="C386" s="428"/>
      <c r="D386" s="428"/>
      <c r="E386" s="298"/>
      <c r="F386" s="813"/>
      <c r="G386"/>
      <c r="H386"/>
      <c r="I386" s="245"/>
      <c r="J386" s="295"/>
      <c r="K386" s="124"/>
      <c r="L386" s="299"/>
      <c r="M386" s="299"/>
      <c r="N386" s="299"/>
      <c r="O386" s="299"/>
      <c r="P386" s="299"/>
      <c r="Q386" s="299"/>
      <c r="R386" s="299"/>
      <c r="S386" s="299"/>
      <c r="T386" s="299"/>
      <c r="U386" s="124"/>
      <c r="V386" s="298"/>
      <c r="W386"/>
      <c r="X386"/>
      <c r="Y386"/>
      <c r="Z386" s="245"/>
      <c r="AA386" s="295"/>
      <c r="AB386" s="124"/>
      <c r="AC386" s="299"/>
      <c r="AD386" s="299"/>
      <c r="AE386" s="299"/>
      <c r="AF386" s="299"/>
      <c r="AG386" s="299"/>
      <c r="AH386" s="299"/>
      <c r="AI386" s="299"/>
      <c r="AJ386" s="299"/>
      <c r="AK386" s="299"/>
      <c r="AL386"/>
      <c r="AM386" s="124"/>
      <c r="AN386"/>
    </row>
    <row r="387" spans="1:40" s="379" customFormat="1" x14ac:dyDescent="0.25">
      <c r="A387" s="262"/>
      <c r="B387" s="244"/>
      <c r="C387" s="428"/>
      <c r="D387" s="428"/>
      <c r="E387" s="298"/>
      <c r="F387" s="813"/>
      <c r="G387"/>
      <c r="H387"/>
      <c r="I387" s="245"/>
      <c r="J387" s="295"/>
      <c r="K387" s="124"/>
      <c r="L387" s="299"/>
      <c r="M387" s="299"/>
      <c r="N387" s="299"/>
      <c r="O387" s="299"/>
      <c r="P387" s="299"/>
      <c r="Q387" s="299"/>
      <c r="R387" s="299"/>
      <c r="S387" s="299"/>
      <c r="T387" s="299"/>
      <c r="U387" s="124"/>
      <c r="V387" s="298"/>
      <c r="W387"/>
      <c r="X387"/>
      <c r="Y387"/>
      <c r="Z387" s="245"/>
      <c r="AA387" s="295"/>
      <c r="AB387" s="124"/>
      <c r="AC387" s="299"/>
      <c r="AD387" s="299"/>
      <c r="AE387" s="299"/>
      <c r="AF387" s="299"/>
      <c r="AG387" s="299"/>
      <c r="AH387" s="299"/>
      <c r="AI387" s="299"/>
      <c r="AJ387" s="299"/>
      <c r="AK387" s="299"/>
      <c r="AL387"/>
      <c r="AM387" s="124"/>
      <c r="AN387"/>
    </row>
    <row r="388" spans="1:40" s="379" customFormat="1" x14ac:dyDescent="0.25">
      <c r="A388" s="262"/>
      <c r="B388" s="244"/>
      <c r="C388" s="428"/>
      <c r="D388" s="428"/>
      <c r="E388" s="298"/>
      <c r="F388" s="813"/>
      <c r="G388"/>
      <c r="H388"/>
      <c r="I388" s="245"/>
      <c r="J388" s="295"/>
      <c r="K388" s="124"/>
      <c r="L388" s="299"/>
      <c r="M388" s="299"/>
      <c r="N388" s="299"/>
      <c r="O388" s="299"/>
      <c r="P388" s="299"/>
      <c r="Q388" s="299"/>
      <c r="R388" s="299"/>
      <c r="S388" s="299"/>
      <c r="T388" s="299"/>
      <c r="U388" s="124"/>
      <c r="V388" s="298"/>
      <c r="W388"/>
      <c r="X388"/>
      <c r="Y388"/>
      <c r="Z388" s="245"/>
      <c r="AA388" s="295"/>
      <c r="AB388" s="124"/>
      <c r="AC388" s="299"/>
      <c r="AD388" s="299"/>
      <c r="AE388" s="299"/>
      <c r="AF388" s="299"/>
      <c r="AG388" s="299"/>
      <c r="AH388" s="299"/>
      <c r="AI388" s="299"/>
      <c r="AJ388" s="299"/>
      <c r="AK388" s="299"/>
      <c r="AL388"/>
      <c r="AM388" s="124"/>
      <c r="AN388"/>
    </row>
    <row r="389" spans="1:40" s="379" customFormat="1" x14ac:dyDescent="0.25">
      <c r="A389" s="262"/>
      <c r="B389" s="244"/>
      <c r="C389" s="428"/>
      <c r="D389" s="428"/>
      <c r="E389" s="298"/>
      <c r="F389" s="813"/>
      <c r="G389"/>
      <c r="H389"/>
      <c r="I389" s="245"/>
      <c r="J389" s="295"/>
      <c r="K389" s="124"/>
      <c r="L389" s="299"/>
      <c r="M389" s="299"/>
      <c r="N389" s="299"/>
      <c r="O389" s="299"/>
      <c r="P389" s="299"/>
      <c r="Q389" s="299"/>
      <c r="R389" s="299"/>
      <c r="S389" s="299"/>
      <c r="T389" s="299"/>
      <c r="U389" s="124"/>
      <c r="V389" s="298"/>
      <c r="W389"/>
      <c r="X389"/>
      <c r="Y389"/>
      <c r="Z389" s="245"/>
      <c r="AA389" s="295"/>
      <c r="AB389" s="124"/>
      <c r="AC389" s="299"/>
      <c r="AD389" s="299"/>
      <c r="AE389" s="299"/>
      <c r="AF389" s="299"/>
      <c r="AG389" s="299"/>
      <c r="AH389" s="299"/>
      <c r="AI389" s="299"/>
      <c r="AJ389" s="299"/>
      <c r="AK389" s="299"/>
      <c r="AL389"/>
      <c r="AM389" s="124"/>
      <c r="AN389"/>
    </row>
    <row r="390" spans="1:40" s="381" customFormat="1" x14ac:dyDescent="0.25">
      <c r="A390" s="262"/>
      <c r="B390" s="244"/>
      <c r="C390" s="428"/>
      <c r="D390" s="428"/>
      <c r="E390" s="298"/>
      <c r="F390" s="813"/>
      <c r="G390"/>
      <c r="H390"/>
      <c r="I390" s="245"/>
      <c r="J390" s="295"/>
      <c r="K390" s="124"/>
      <c r="L390" s="299"/>
      <c r="M390" s="299"/>
      <c r="N390" s="299"/>
      <c r="O390" s="299"/>
      <c r="P390" s="299"/>
      <c r="Q390" s="299"/>
      <c r="R390" s="299"/>
      <c r="S390" s="299"/>
      <c r="T390" s="299"/>
      <c r="U390" s="124"/>
      <c r="V390" s="298"/>
      <c r="W390"/>
      <c r="X390"/>
      <c r="Y390"/>
      <c r="Z390" s="245"/>
      <c r="AA390" s="295"/>
      <c r="AB390" s="124"/>
      <c r="AC390" s="299"/>
      <c r="AD390" s="299"/>
      <c r="AE390" s="299"/>
      <c r="AF390" s="299"/>
      <c r="AG390" s="299"/>
      <c r="AH390" s="299"/>
      <c r="AI390" s="299"/>
      <c r="AJ390" s="299"/>
      <c r="AK390" s="299"/>
      <c r="AL390"/>
      <c r="AM390" s="124"/>
      <c r="AN390"/>
    </row>
    <row r="391" spans="1:40" s="379" customFormat="1" x14ac:dyDescent="0.25">
      <c r="A391" s="262"/>
      <c r="B391" s="244"/>
      <c r="C391" s="428"/>
      <c r="D391" s="428"/>
      <c r="E391" s="298"/>
      <c r="F391" s="813"/>
      <c r="G391"/>
      <c r="H391"/>
      <c r="I391" s="245"/>
      <c r="J391" s="295"/>
      <c r="K391" s="124"/>
      <c r="L391" s="299"/>
      <c r="M391" s="299"/>
      <c r="N391" s="299"/>
      <c r="O391" s="299"/>
      <c r="P391" s="299"/>
      <c r="Q391" s="299"/>
      <c r="R391" s="299"/>
      <c r="S391" s="299"/>
      <c r="T391" s="299"/>
      <c r="U391" s="124"/>
      <c r="V391" s="298"/>
      <c r="W391"/>
      <c r="X391"/>
      <c r="Y391"/>
      <c r="Z391" s="245"/>
      <c r="AA391" s="295"/>
      <c r="AB391" s="124"/>
      <c r="AC391" s="299"/>
      <c r="AD391" s="299"/>
      <c r="AE391" s="299"/>
      <c r="AF391" s="299"/>
      <c r="AG391" s="299"/>
      <c r="AH391" s="299"/>
      <c r="AI391" s="299"/>
      <c r="AJ391" s="299"/>
      <c r="AK391" s="299"/>
      <c r="AL391"/>
      <c r="AM391" s="124"/>
      <c r="AN391"/>
    </row>
    <row r="392" spans="1:40" s="379" customFormat="1" x14ac:dyDescent="0.25">
      <c r="A392" s="262"/>
      <c r="B392" s="244"/>
      <c r="C392" s="428"/>
      <c r="D392" s="428"/>
      <c r="E392" s="298"/>
      <c r="F392" s="813"/>
      <c r="G392"/>
      <c r="H392"/>
      <c r="I392" s="245"/>
      <c r="J392" s="295"/>
      <c r="K392" s="124"/>
      <c r="L392" s="299"/>
      <c r="M392" s="299"/>
      <c r="N392" s="299"/>
      <c r="O392" s="299"/>
      <c r="P392" s="299"/>
      <c r="Q392" s="299"/>
      <c r="R392" s="299"/>
      <c r="S392" s="299"/>
      <c r="T392" s="299"/>
      <c r="U392" s="124"/>
      <c r="V392" s="298"/>
      <c r="W392"/>
      <c r="X392"/>
      <c r="Y392"/>
      <c r="Z392" s="245"/>
      <c r="AA392" s="295"/>
      <c r="AB392" s="124"/>
      <c r="AC392" s="299"/>
      <c r="AD392" s="299"/>
      <c r="AE392" s="299"/>
      <c r="AF392" s="299"/>
      <c r="AG392" s="299"/>
      <c r="AH392" s="299"/>
      <c r="AI392" s="299"/>
      <c r="AJ392" s="299"/>
      <c r="AK392" s="299"/>
      <c r="AL392"/>
      <c r="AM392" s="124"/>
      <c r="AN392"/>
    </row>
    <row r="393" spans="1:40" s="379" customFormat="1" x14ac:dyDescent="0.25">
      <c r="A393" s="262"/>
      <c r="B393" s="244"/>
      <c r="C393" s="428"/>
      <c r="D393" s="428"/>
      <c r="E393" s="298"/>
      <c r="F393" s="813"/>
      <c r="G393"/>
      <c r="H393"/>
      <c r="I393" s="245"/>
      <c r="J393" s="295"/>
      <c r="K393" s="124"/>
      <c r="L393" s="299"/>
      <c r="M393" s="299"/>
      <c r="N393" s="299"/>
      <c r="O393" s="299"/>
      <c r="P393" s="299"/>
      <c r="Q393" s="299"/>
      <c r="R393" s="299"/>
      <c r="S393" s="299"/>
      <c r="T393" s="299"/>
      <c r="U393" s="124"/>
      <c r="V393" s="298"/>
      <c r="W393"/>
      <c r="X393"/>
      <c r="Y393"/>
      <c r="Z393" s="245"/>
      <c r="AA393" s="295"/>
      <c r="AB393" s="124"/>
      <c r="AC393" s="299"/>
      <c r="AD393" s="299"/>
      <c r="AE393" s="299"/>
      <c r="AF393" s="299"/>
      <c r="AG393" s="299"/>
      <c r="AH393" s="299"/>
      <c r="AI393" s="299"/>
      <c r="AJ393" s="299"/>
      <c r="AK393" s="299"/>
      <c r="AL393"/>
      <c r="AM393" s="124"/>
      <c r="AN393"/>
    </row>
    <row r="394" spans="1:40" s="379" customFormat="1" x14ac:dyDescent="0.25">
      <c r="A394" s="262"/>
      <c r="B394" s="244"/>
      <c r="C394" s="428"/>
      <c r="D394" s="428"/>
      <c r="E394" s="298"/>
      <c r="F394" s="813"/>
      <c r="G394"/>
      <c r="H394"/>
      <c r="I394" s="245"/>
      <c r="J394" s="295"/>
      <c r="K394" s="124"/>
      <c r="L394" s="299"/>
      <c r="M394" s="299"/>
      <c r="N394" s="299"/>
      <c r="O394" s="299"/>
      <c r="P394" s="299"/>
      <c r="Q394" s="299"/>
      <c r="R394" s="299"/>
      <c r="S394" s="299"/>
      <c r="T394" s="299"/>
      <c r="U394" s="124"/>
      <c r="V394" s="298"/>
      <c r="W394"/>
      <c r="X394"/>
      <c r="Y394"/>
      <c r="Z394" s="245"/>
      <c r="AA394" s="295"/>
      <c r="AB394" s="124"/>
      <c r="AC394" s="299"/>
      <c r="AD394" s="299"/>
      <c r="AE394" s="299"/>
      <c r="AF394" s="299"/>
      <c r="AG394" s="299"/>
      <c r="AH394" s="299"/>
      <c r="AI394" s="299"/>
      <c r="AJ394" s="299"/>
      <c r="AK394" s="299"/>
      <c r="AL394"/>
      <c r="AM394" s="124"/>
      <c r="AN394"/>
    </row>
    <row r="395" spans="1:40" s="379" customFormat="1" x14ac:dyDescent="0.25">
      <c r="A395" s="262"/>
      <c r="B395" s="244"/>
      <c r="C395" s="428"/>
      <c r="D395" s="428"/>
      <c r="E395" s="298"/>
      <c r="F395" s="813"/>
      <c r="G395"/>
      <c r="H395"/>
      <c r="I395" s="245"/>
      <c r="J395" s="295"/>
      <c r="K395" s="124"/>
      <c r="L395" s="299"/>
      <c r="M395" s="299"/>
      <c r="N395" s="299"/>
      <c r="O395" s="299"/>
      <c r="P395" s="299"/>
      <c r="Q395" s="299"/>
      <c r="R395" s="299"/>
      <c r="S395" s="299"/>
      <c r="T395" s="299"/>
      <c r="U395" s="124"/>
      <c r="V395" s="298"/>
      <c r="W395"/>
      <c r="X395"/>
      <c r="Y395"/>
      <c r="Z395" s="245"/>
      <c r="AA395" s="295"/>
      <c r="AB395" s="124"/>
      <c r="AC395" s="299"/>
      <c r="AD395" s="299"/>
      <c r="AE395" s="299"/>
      <c r="AF395" s="299"/>
      <c r="AG395" s="299"/>
      <c r="AH395" s="299"/>
      <c r="AI395" s="299"/>
      <c r="AJ395" s="299"/>
      <c r="AK395" s="299"/>
      <c r="AL395"/>
      <c r="AM395" s="124"/>
      <c r="AN395"/>
    </row>
    <row r="396" spans="1:40" s="453" customFormat="1" x14ac:dyDescent="0.25">
      <c r="A396" s="262"/>
      <c r="B396" s="244"/>
      <c r="C396" s="428"/>
      <c r="D396" s="428"/>
      <c r="E396" s="298"/>
      <c r="F396" s="813"/>
      <c r="G396"/>
      <c r="H396"/>
      <c r="I396" s="245"/>
      <c r="J396" s="295"/>
      <c r="K396" s="124"/>
      <c r="L396" s="299"/>
      <c r="M396" s="299"/>
      <c r="N396" s="299"/>
      <c r="O396" s="299"/>
      <c r="P396" s="299"/>
      <c r="Q396" s="299"/>
      <c r="R396" s="299"/>
      <c r="S396" s="299"/>
      <c r="T396" s="299"/>
      <c r="U396" s="124"/>
      <c r="V396" s="298"/>
      <c r="W396"/>
      <c r="X396"/>
      <c r="Y396"/>
      <c r="Z396" s="245"/>
      <c r="AA396" s="295"/>
      <c r="AB396" s="124"/>
      <c r="AC396" s="299"/>
      <c r="AD396" s="299"/>
      <c r="AE396" s="299"/>
      <c r="AF396" s="299"/>
      <c r="AG396" s="299"/>
      <c r="AH396" s="299"/>
      <c r="AI396" s="299"/>
      <c r="AJ396" s="299"/>
      <c r="AK396" s="299"/>
      <c r="AL396"/>
      <c r="AM396" s="124"/>
      <c r="AN396"/>
    </row>
    <row r="397" spans="1:40" s="379" customFormat="1" x14ac:dyDescent="0.25">
      <c r="A397" s="262"/>
      <c r="B397" s="244"/>
      <c r="C397" s="428"/>
      <c r="D397" s="428"/>
      <c r="E397" s="298"/>
      <c r="F397" s="813"/>
      <c r="G397"/>
      <c r="H397"/>
      <c r="I397" s="245"/>
      <c r="J397" s="295"/>
      <c r="K397" s="124"/>
      <c r="L397" s="299"/>
      <c r="M397" s="299"/>
      <c r="N397" s="299"/>
      <c r="O397" s="299"/>
      <c r="P397" s="299"/>
      <c r="Q397" s="299"/>
      <c r="R397" s="299"/>
      <c r="S397" s="299"/>
      <c r="T397" s="299"/>
      <c r="U397" s="124"/>
      <c r="V397" s="298"/>
      <c r="W397"/>
      <c r="X397"/>
      <c r="Y397"/>
      <c r="Z397" s="245"/>
      <c r="AA397" s="295"/>
      <c r="AB397" s="124"/>
      <c r="AC397" s="299"/>
      <c r="AD397" s="299"/>
      <c r="AE397" s="299"/>
      <c r="AF397" s="299"/>
      <c r="AG397" s="299"/>
      <c r="AH397" s="299"/>
      <c r="AI397" s="299"/>
      <c r="AJ397" s="299"/>
      <c r="AK397" s="299"/>
      <c r="AL397"/>
      <c r="AM397" s="124"/>
      <c r="AN397"/>
    </row>
    <row r="398" spans="1:40" s="379" customFormat="1" x14ac:dyDescent="0.25">
      <c r="A398" s="262"/>
      <c r="B398" s="244"/>
      <c r="C398" s="428"/>
      <c r="D398" s="428"/>
      <c r="E398" s="298"/>
      <c r="F398" s="813"/>
      <c r="G398"/>
      <c r="H398"/>
      <c r="I398" s="245"/>
      <c r="J398" s="295"/>
      <c r="K398" s="124"/>
      <c r="L398" s="299"/>
      <c r="M398" s="299"/>
      <c r="N398" s="299"/>
      <c r="O398" s="299"/>
      <c r="P398" s="299"/>
      <c r="Q398" s="299"/>
      <c r="R398" s="299"/>
      <c r="S398" s="299"/>
      <c r="T398" s="299"/>
      <c r="U398" s="124"/>
      <c r="V398" s="298"/>
      <c r="W398"/>
      <c r="X398"/>
      <c r="Y398"/>
      <c r="Z398" s="245"/>
      <c r="AA398" s="295"/>
      <c r="AB398" s="124"/>
      <c r="AC398" s="299"/>
      <c r="AD398" s="299"/>
      <c r="AE398" s="299"/>
      <c r="AF398" s="299"/>
      <c r="AG398" s="299"/>
      <c r="AH398" s="299"/>
      <c r="AI398" s="299"/>
      <c r="AJ398" s="299"/>
      <c r="AK398" s="299"/>
      <c r="AL398"/>
      <c r="AM398" s="124"/>
      <c r="AN398"/>
    </row>
    <row r="399" spans="1:40" s="379" customFormat="1" x14ac:dyDescent="0.25">
      <c r="A399" s="262"/>
      <c r="B399" s="244"/>
      <c r="C399" s="428"/>
      <c r="D399" s="428"/>
      <c r="E399" s="298"/>
      <c r="F399" s="813"/>
      <c r="G399"/>
      <c r="H399"/>
      <c r="I399" s="245"/>
      <c r="J399" s="295"/>
      <c r="K399" s="124"/>
      <c r="L399" s="299"/>
      <c r="M399" s="299"/>
      <c r="N399" s="299"/>
      <c r="O399" s="299"/>
      <c r="P399" s="299"/>
      <c r="Q399" s="299"/>
      <c r="R399" s="299"/>
      <c r="S399" s="299"/>
      <c r="T399" s="299"/>
      <c r="U399" s="124"/>
      <c r="V399" s="298"/>
      <c r="W399"/>
      <c r="X399"/>
      <c r="Y399"/>
      <c r="Z399" s="245"/>
      <c r="AA399" s="295"/>
      <c r="AB399" s="124"/>
      <c r="AC399" s="299"/>
      <c r="AD399" s="299"/>
      <c r="AE399" s="299"/>
      <c r="AF399" s="299"/>
      <c r="AG399" s="299"/>
      <c r="AH399" s="299"/>
      <c r="AI399" s="299"/>
      <c r="AJ399" s="299"/>
      <c r="AK399" s="299"/>
      <c r="AL399"/>
      <c r="AM399" s="124"/>
      <c r="AN399"/>
    </row>
    <row r="400" spans="1:40" s="379" customFormat="1" x14ac:dyDescent="0.25">
      <c r="A400" s="262"/>
      <c r="B400" s="244"/>
      <c r="C400" s="428"/>
      <c r="D400" s="428"/>
      <c r="E400" s="298"/>
      <c r="F400" s="813"/>
      <c r="G400"/>
      <c r="H400"/>
      <c r="I400" s="245"/>
      <c r="J400" s="295"/>
      <c r="K400" s="124"/>
      <c r="L400" s="299"/>
      <c r="M400" s="299"/>
      <c r="N400" s="299"/>
      <c r="O400" s="299"/>
      <c r="P400" s="299"/>
      <c r="Q400" s="299"/>
      <c r="R400" s="299"/>
      <c r="S400" s="299"/>
      <c r="T400" s="299"/>
      <c r="U400" s="124"/>
      <c r="V400" s="298"/>
      <c r="W400"/>
      <c r="X400"/>
      <c r="Y400"/>
      <c r="Z400" s="245"/>
      <c r="AA400" s="295"/>
      <c r="AB400" s="124"/>
      <c r="AC400" s="299"/>
      <c r="AD400" s="299"/>
      <c r="AE400" s="299"/>
      <c r="AF400" s="299"/>
      <c r="AG400" s="299"/>
      <c r="AH400" s="299"/>
      <c r="AI400" s="299"/>
      <c r="AJ400" s="299"/>
      <c r="AK400" s="299"/>
      <c r="AL400"/>
      <c r="AM400" s="124"/>
      <c r="AN400"/>
    </row>
    <row r="401" spans="1:41" s="381" customFormat="1" x14ac:dyDescent="0.25">
      <c r="A401" s="262"/>
      <c r="B401" s="244"/>
      <c r="C401" s="428"/>
      <c r="D401" s="428"/>
      <c r="E401" s="298"/>
      <c r="F401" s="813"/>
      <c r="G401"/>
      <c r="H401"/>
      <c r="I401" s="245"/>
      <c r="J401" s="295"/>
      <c r="K401" s="124"/>
      <c r="L401" s="299"/>
      <c r="M401" s="299"/>
      <c r="N401" s="299"/>
      <c r="O401" s="299"/>
      <c r="P401" s="299"/>
      <c r="Q401" s="299"/>
      <c r="R401" s="299"/>
      <c r="S401" s="299"/>
      <c r="T401" s="299"/>
      <c r="U401" s="124"/>
      <c r="V401" s="298"/>
      <c r="W401"/>
      <c r="X401"/>
      <c r="Y401"/>
      <c r="Z401" s="245"/>
      <c r="AA401" s="295"/>
      <c r="AB401" s="124"/>
      <c r="AC401" s="299"/>
      <c r="AD401" s="299"/>
      <c r="AE401" s="299"/>
      <c r="AF401" s="299"/>
      <c r="AG401" s="299"/>
      <c r="AH401" s="299"/>
      <c r="AI401" s="299"/>
      <c r="AJ401" s="299"/>
      <c r="AK401" s="299"/>
      <c r="AL401"/>
      <c r="AM401" s="124"/>
      <c r="AN401"/>
    </row>
    <row r="402" spans="1:41" s="381" customFormat="1" x14ac:dyDescent="0.25">
      <c r="A402" s="262"/>
      <c r="B402" s="244"/>
      <c r="C402" s="428"/>
      <c r="D402" s="428"/>
      <c r="E402" s="298"/>
      <c r="F402" s="813"/>
      <c r="G402"/>
      <c r="H402"/>
      <c r="I402" s="245"/>
      <c r="J402" s="295"/>
      <c r="K402" s="124"/>
      <c r="L402" s="299"/>
      <c r="M402" s="299"/>
      <c r="N402" s="299"/>
      <c r="O402" s="299"/>
      <c r="P402" s="299"/>
      <c r="Q402" s="299"/>
      <c r="R402" s="299"/>
      <c r="S402" s="299"/>
      <c r="T402" s="299"/>
      <c r="U402" s="124"/>
      <c r="V402" s="298"/>
      <c r="W402"/>
      <c r="X402"/>
      <c r="Y402"/>
      <c r="Z402" s="245"/>
      <c r="AA402" s="295"/>
      <c r="AB402" s="124"/>
      <c r="AC402" s="299"/>
      <c r="AD402" s="299"/>
      <c r="AE402" s="299"/>
      <c r="AF402" s="299"/>
      <c r="AG402" s="299"/>
      <c r="AH402" s="299"/>
      <c r="AI402" s="299"/>
      <c r="AJ402" s="299"/>
      <c r="AK402" s="299"/>
      <c r="AL402"/>
      <c r="AM402" s="124"/>
      <c r="AN402"/>
    </row>
    <row r="403" spans="1:41" s="381" customFormat="1" x14ac:dyDescent="0.25">
      <c r="A403" s="262"/>
      <c r="B403" s="244"/>
      <c r="C403" s="428"/>
      <c r="D403" s="428"/>
      <c r="E403" s="298"/>
      <c r="F403" s="813"/>
      <c r="G403"/>
      <c r="H403"/>
      <c r="I403" s="245"/>
      <c r="J403" s="295"/>
      <c r="K403" s="124"/>
      <c r="L403" s="299"/>
      <c r="M403" s="299"/>
      <c r="N403" s="299"/>
      <c r="O403" s="299"/>
      <c r="P403" s="299"/>
      <c r="Q403" s="299"/>
      <c r="R403" s="299"/>
      <c r="S403" s="299"/>
      <c r="T403" s="299"/>
      <c r="U403" s="124"/>
      <c r="V403" s="298"/>
      <c r="W403"/>
      <c r="X403"/>
      <c r="Y403"/>
      <c r="Z403" s="245"/>
      <c r="AA403" s="295"/>
      <c r="AB403" s="124"/>
      <c r="AC403" s="299"/>
      <c r="AD403" s="299"/>
      <c r="AE403" s="299"/>
      <c r="AF403" s="299"/>
      <c r="AG403" s="299"/>
      <c r="AH403" s="299"/>
      <c r="AI403" s="299"/>
      <c r="AJ403" s="299"/>
      <c r="AK403" s="299"/>
      <c r="AL403"/>
      <c r="AM403" s="124"/>
      <c r="AN403"/>
    </row>
    <row r="404" spans="1:41" s="381" customFormat="1" x14ac:dyDescent="0.25">
      <c r="A404" s="262"/>
      <c r="B404" s="244"/>
      <c r="C404" s="428"/>
      <c r="D404" s="428"/>
      <c r="E404" s="298"/>
      <c r="F404" s="813"/>
      <c r="G404"/>
      <c r="H404"/>
      <c r="I404" s="245"/>
      <c r="J404" s="295"/>
      <c r="K404" s="124"/>
      <c r="L404" s="299"/>
      <c r="M404" s="299"/>
      <c r="N404" s="299"/>
      <c r="O404" s="299"/>
      <c r="P404" s="299"/>
      <c r="Q404" s="299"/>
      <c r="R404" s="299"/>
      <c r="S404" s="299"/>
      <c r="T404" s="299"/>
      <c r="U404" s="124"/>
      <c r="V404" s="298"/>
      <c r="W404"/>
      <c r="X404"/>
      <c r="Y404"/>
      <c r="Z404" s="245"/>
      <c r="AA404" s="295"/>
      <c r="AB404" s="124"/>
      <c r="AC404" s="299"/>
      <c r="AD404" s="299"/>
      <c r="AE404" s="299"/>
      <c r="AF404" s="299"/>
      <c r="AG404" s="299"/>
      <c r="AH404" s="299"/>
      <c r="AI404" s="299"/>
      <c r="AJ404" s="299"/>
      <c r="AK404" s="299"/>
      <c r="AL404"/>
      <c r="AM404" s="124"/>
      <c r="AN404"/>
    </row>
    <row r="405" spans="1:41" s="381" customFormat="1" x14ac:dyDescent="0.25">
      <c r="A405" s="262"/>
      <c r="B405" s="244"/>
      <c r="C405" s="428"/>
      <c r="D405" s="428"/>
      <c r="E405" s="298"/>
      <c r="F405" s="813"/>
      <c r="G405"/>
      <c r="H405"/>
      <c r="I405" s="245"/>
      <c r="J405" s="295"/>
      <c r="K405" s="124"/>
      <c r="L405" s="299"/>
      <c r="M405" s="299"/>
      <c r="N405" s="299"/>
      <c r="O405" s="299"/>
      <c r="P405" s="299"/>
      <c r="Q405" s="299"/>
      <c r="R405" s="299"/>
      <c r="S405" s="299"/>
      <c r="T405" s="299"/>
      <c r="U405" s="124"/>
      <c r="V405" s="298"/>
      <c r="W405"/>
      <c r="X405"/>
      <c r="Y405"/>
      <c r="Z405" s="245"/>
      <c r="AA405" s="295"/>
      <c r="AB405" s="124"/>
      <c r="AC405" s="299"/>
      <c r="AD405" s="299"/>
      <c r="AE405" s="299"/>
      <c r="AF405" s="299"/>
      <c r="AG405" s="299"/>
      <c r="AH405" s="299"/>
      <c r="AI405" s="299"/>
      <c r="AJ405" s="299"/>
      <c r="AK405" s="299"/>
      <c r="AL405"/>
      <c r="AM405" s="124"/>
      <c r="AN405"/>
      <c r="AO405" s="523" t="s">
        <v>201</v>
      </c>
    </row>
    <row r="406" spans="1:41" s="381" customFormat="1" x14ac:dyDescent="0.25">
      <c r="A406" s="262"/>
      <c r="B406" s="244"/>
      <c r="C406" s="428"/>
      <c r="D406" s="428"/>
      <c r="E406" s="298"/>
      <c r="F406" s="813"/>
      <c r="G406"/>
      <c r="H406"/>
      <c r="I406" s="245"/>
      <c r="J406" s="295"/>
      <c r="K406" s="124"/>
      <c r="L406" s="299"/>
      <c r="M406" s="299"/>
      <c r="N406" s="299"/>
      <c r="O406" s="299"/>
      <c r="P406" s="299"/>
      <c r="Q406" s="299"/>
      <c r="R406" s="299"/>
      <c r="S406" s="299"/>
      <c r="T406" s="299"/>
      <c r="U406" s="124"/>
      <c r="V406" s="298"/>
      <c r="W406"/>
      <c r="X406"/>
      <c r="Y406"/>
      <c r="Z406" s="245"/>
      <c r="AA406" s="295"/>
      <c r="AB406" s="124"/>
      <c r="AC406" s="299"/>
      <c r="AD406" s="299"/>
      <c r="AE406" s="299"/>
      <c r="AF406" s="299"/>
      <c r="AG406" s="299"/>
      <c r="AH406" s="299"/>
      <c r="AI406" s="299"/>
      <c r="AJ406" s="299"/>
      <c r="AK406" s="299"/>
      <c r="AL406"/>
      <c r="AM406" s="124"/>
      <c r="AN406"/>
      <c r="AO406" s="523" t="s">
        <v>201</v>
      </c>
    </row>
    <row r="407" spans="1:41" s="123" customFormat="1" x14ac:dyDescent="0.25">
      <c r="A407" s="262"/>
      <c r="B407" s="244"/>
      <c r="C407" s="428"/>
      <c r="D407" s="428"/>
      <c r="E407" s="298"/>
      <c r="F407" s="813"/>
      <c r="G407"/>
      <c r="H407"/>
      <c r="I407" s="245"/>
      <c r="J407" s="295"/>
      <c r="K407" s="124"/>
      <c r="L407" s="299"/>
      <c r="M407" s="299"/>
      <c r="N407" s="299"/>
      <c r="O407" s="299"/>
      <c r="P407" s="299"/>
      <c r="Q407" s="299"/>
      <c r="R407" s="299"/>
      <c r="S407" s="299"/>
      <c r="T407" s="299"/>
      <c r="U407" s="124"/>
      <c r="V407" s="298"/>
      <c r="W407"/>
      <c r="X407"/>
      <c r="Y407"/>
      <c r="Z407" s="245"/>
      <c r="AA407" s="295"/>
      <c r="AB407" s="124"/>
      <c r="AC407" s="299"/>
      <c r="AD407" s="299"/>
      <c r="AE407" s="299"/>
      <c r="AF407" s="299"/>
      <c r="AG407" s="299"/>
      <c r="AH407" s="299"/>
      <c r="AI407" s="299"/>
      <c r="AJ407" s="299"/>
      <c r="AK407" s="299"/>
      <c r="AL407"/>
      <c r="AM407" s="124"/>
      <c r="AN407"/>
    </row>
    <row r="408" spans="1:41" s="39" customFormat="1" x14ac:dyDescent="0.25">
      <c r="A408" s="262"/>
      <c r="B408" s="244"/>
      <c r="C408" s="428"/>
      <c r="D408" s="428"/>
      <c r="E408" s="298"/>
      <c r="F408" s="813"/>
      <c r="G408"/>
      <c r="H408"/>
      <c r="I408" s="245"/>
      <c r="J408" s="295"/>
      <c r="K408" s="124"/>
      <c r="L408" s="299"/>
      <c r="M408" s="299"/>
      <c r="N408" s="299"/>
      <c r="O408" s="299"/>
      <c r="P408" s="299"/>
      <c r="Q408" s="299"/>
      <c r="R408" s="299"/>
      <c r="S408" s="299"/>
      <c r="T408" s="299"/>
      <c r="U408" s="124"/>
      <c r="V408" s="298"/>
      <c r="W408"/>
      <c r="X408"/>
      <c r="Y408"/>
      <c r="Z408" s="245"/>
      <c r="AA408" s="295"/>
      <c r="AB408" s="124"/>
      <c r="AC408" s="299"/>
      <c r="AD408" s="299"/>
      <c r="AE408" s="299"/>
      <c r="AF408" s="299"/>
      <c r="AG408" s="299"/>
      <c r="AH408" s="299"/>
      <c r="AI408" s="299"/>
      <c r="AJ408" s="299"/>
      <c r="AK408" s="299"/>
      <c r="AL408"/>
      <c r="AM408" s="124"/>
      <c r="AN408"/>
      <c r="AO408" s="454"/>
    </row>
    <row r="409" spans="1:41" s="350" customFormat="1" ht="11.25" customHeight="1" x14ac:dyDescent="0.25">
      <c r="A409" s="262"/>
      <c r="B409" s="244"/>
      <c r="C409" s="428"/>
      <c r="D409" s="428"/>
      <c r="E409" s="298"/>
      <c r="F409" s="813"/>
      <c r="G409"/>
      <c r="H409"/>
      <c r="I409" s="245"/>
      <c r="J409" s="295"/>
      <c r="K409" s="124"/>
      <c r="L409" s="299"/>
      <c r="M409" s="299"/>
      <c r="N409" s="299"/>
      <c r="O409" s="299"/>
      <c r="P409" s="299"/>
      <c r="Q409" s="299"/>
      <c r="R409" s="299"/>
      <c r="S409" s="299"/>
      <c r="T409" s="299"/>
      <c r="U409" s="124"/>
      <c r="V409" s="298"/>
      <c r="W409"/>
      <c r="X409"/>
      <c r="Y409"/>
      <c r="Z409" s="245"/>
      <c r="AA409" s="295"/>
      <c r="AB409" s="124"/>
      <c r="AC409" s="299"/>
      <c r="AD409" s="299"/>
      <c r="AE409" s="299"/>
      <c r="AF409" s="299"/>
      <c r="AG409" s="299"/>
      <c r="AH409" s="299"/>
      <c r="AI409" s="299"/>
      <c r="AJ409" s="299"/>
      <c r="AK409" s="299"/>
      <c r="AL409"/>
      <c r="AM409" s="124"/>
      <c r="AN409"/>
      <c r="AO409" s="523"/>
    </row>
    <row r="410" spans="1:41" s="30" customFormat="1" ht="13.5" customHeight="1" x14ac:dyDescent="0.25">
      <c r="A410" s="262"/>
      <c r="B410" s="244"/>
      <c r="C410" s="428"/>
      <c r="D410" s="428"/>
      <c r="E410" s="298"/>
      <c r="F410" s="813"/>
      <c r="G410"/>
      <c r="H410"/>
      <c r="I410" s="245"/>
      <c r="J410" s="295"/>
      <c r="K410" s="124"/>
      <c r="L410" s="299"/>
      <c r="M410" s="299"/>
      <c r="N410" s="299"/>
      <c r="O410" s="299"/>
      <c r="P410" s="299"/>
      <c r="Q410" s="299"/>
      <c r="R410" s="299"/>
      <c r="S410" s="299"/>
      <c r="T410" s="299"/>
      <c r="U410" s="124"/>
      <c r="V410" s="298"/>
      <c r="W410"/>
      <c r="X410"/>
      <c r="Y410"/>
      <c r="Z410" s="245"/>
      <c r="AA410" s="295"/>
      <c r="AB410" s="124"/>
      <c r="AC410" s="299"/>
      <c r="AD410" s="299"/>
      <c r="AE410" s="299"/>
      <c r="AF410" s="299"/>
      <c r="AG410" s="299"/>
      <c r="AH410" s="299"/>
      <c r="AI410" s="299"/>
      <c r="AJ410" s="299"/>
      <c r="AK410" s="299"/>
      <c r="AL410"/>
      <c r="AM410" s="124"/>
      <c r="AN410"/>
    </row>
    <row r="411" spans="1:41" s="389" customFormat="1" x14ac:dyDescent="0.25">
      <c r="A411" s="262"/>
      <c r="B411" s="244"/>
      <c r="C411" s="428"/>
      <c r="D411" s="428"/>
      <c r="E411" s="298"/>
      <c r="F411" s="813"/>
      <c r="G411"/>
      <c r="H411"/>
      <c r="I411" s="245"/>
      <c r="J411" s="295"/>
      <c r="K411" s="124"/>
      <c r="L411" s="299"/>
      <c r="M411" s="299"/>
      <c r="N411" s="299"/>
      <c r="O411" s="299"/>
      <c r="P411" s="299"/>
      <c r="Q411" s="299"/>
      <c r="R411" s="299"/>
      <c r="S411" s="299"/>
      <c r="T411" s="299"/>
      <c r="U411" s="124"/>
      <c r="V411" s="298"/>
      <c r="W411"/>
      <c r="X411"/>
      <c r="Y411"/>
      <c r="Z411" s="245"/>
      <c r="AA411" s="295"/>
      <c r="AB411" s="124"/>
      <c r="AC411" s="299"/>
      <c r="AD411" s="299"/>
      <c r="AE411" s="299"/>
      <c r="AF411" s="299"/>
      <c r="AG411" s="299"/>
      <c r="AH411" s="299"/>
      <c r="AI411" s="299"/>
      <c r="AJ411" s="299"/>
      <c r="AK411" s="299"/>
      <c r="AL411"/>
      <c r="AM411" s="124"/>
      <c r="AN411"/>
    </row>
    <row r="412" spans="1:41" s="39" customFormat="1" x14ac:dyDescent="0.25">
      <c r="A412" s="262"/>
      <c r="B412" s="244"/>
      <c r="C412" s="428"/>
      <c r="D412" s="428"/>
      <c r="E412" s="298"/>
      <c r="F412" s="813"/>
      <c r="G412"/>
      <c r="H412"/>
      <c r="I412" s="245"/>
      <c r="J412" s="295"/>
      <c r="K412" s="124"/>
      <c r="L412" s="299"/>
      <c r="M412" s="299"/>
      <c r="N412" s="299"/>
      <c r="O412" s="299"/>
      <c r="P412" s="299"/>
      <c r="Q412" s="299"/>
      <c r="R412" s="299"/>
      <c r="S412" s="299"/>
      <c r="T412" s="299"/>
      <c r="U412" s="124"/>
      <c r="V412" s="298"/>
      <c r="W412"/>
      <c r="X412"/>
      <c r="Y412"/>
      <c r="Z412" s="245"/>
      <c r="AA412" s="295"/>
      <c r="AB412" s="124"/>
      <c r="AC412" s="299"/>
      <c r="AD412" s="299"/>
      <c r="AE412" s="299"/>
      <c r="AF412" s="299"/>
      <c r="AG412" s="299"/>
      <c r="AH412" s="299"/>
      <c r="AI412" s="299"/>
      <c r="AJ412" s="299"/>
      <c r="AK412" s="299"/>
      <c r="AL412"/>
      <c r="AM412" s="124"/>
      <c r="AN412"/>
    </row>
    <row r="413" spans="1:41" s="39" customFormat="1" x14ac:dyDescent="0.25">
      <c r="A413" s="262"/>
      <c r="B413" s="244"/>
      <c r="C413" s="428"/>
      <c r="D413" s="428"/>
      <c r="E413" s="298"/>
      <c r="F413" s="813"/>
      <c r="G413"/>
      <c r="H413"/>
      <c r="I413" s="245"/>
      <c r="J413" s="295"/>
      <c r="K413" s="124"/>
      <c r="L413" s="299"/>
      <c r="M413" s="299"/>
      <c r="N413" s="299"/>
      <c r="O413" s="299"/>
      <c r="P413" s="299"/>
      <c r="Q413" s="299"/>
      <c r="R413" s="299"/>
      <c r="S413" s="299"/>
      <c r="T413" s="299"/>
      <c r="U413" s="124"/>
      <c r="V413" s="298"/>
      <c r="W413"/>
      <c r="X413"/>
      <c r="Y413"/>
      <c r="Z413" s="245"/>
      <c r="AA413" s="295"/>
      <c r="AB413" s="124"/>
      <c r="AC413" s="299"/>
      <c r="AD413" s="299"/>
      <c r="AE413" s="299"/>
      <c r="AF413" s="299"/>
      <c r="AG413" s="299"/>
      <c r="AH413" s="299"/>
      <c r="AI413" s="299"/>
      <c r="AJ413" s="299"/>
      <c r="AK413" s="299"/>
      <c r="AL413"/>
      <c r="AM413" s="124"/>
      <c r="AN413"/>
    </row>
    <row r="414" spans="1:41" s="30" customFormat="1" x14ac:dyDescent="0.25">
      <c r="A414" s="262"/>
      <c r="B414" s="244"/>
      <c r="C414" s="428"/>
      <c r="D414" s="428"/>
      <c r="E414" s="298"/>
      <c r="F414" s="813"/>
      <c r="G414"/>
      <c r="H414"/>
      <c r="I414" s="245"/>
      <c r="J414" s="295"/>
      <c r="K414" s="124"/>
      <c r="L414" s="299"/>
      <c r="M414" s="299"/>
      <c r="N414" s="299"/>
      <c r="O414" s="299"/>
      <c r="P414" s="299"/>
      <c r="Q414" s="299"/>
      <c r="R414" s="299"/>
      <c r="S414" s="299"/>
      <c r="T414" s="299"/>
      <c r="U414" s="124"/>
      <c r="V414" s="298"/>
      <c r="W414"/>
      <c r="X414"/>
      <c r="Y414"/>
      <c r="Z414" s="245"/>
      <c r="AA414" s="295"/>
      <c r="AB414" s="124"/>
      <c r="AC414" s="299"/>
      <c r="AD414" s="299"/>
      <c r="AE414" s="299"/>
      <c r="AF414" s="299"/>
      <c r="AG414" s="299"/>
      <c r="AH414" s="299"/>
      <c r="AI414" s="299"/>
      <c r="AJ414" s="299"/>
      <c r="AK414" s="299"/>
      <c r="AL414"/>
      <c r="AM414" s="124"/>
      <c r="AN414"/>
    </row>
    <row r="415" spans="1:41" s="350" customFormat="1" x14ac:dyDescent="0.25">
      <c r="A415" s="262"/>
      <c r="B415" s="244"/>
      <c r="C415" s="428"/>
      <c r="D415" s="428"/>
      <c r="E415" s="298"/>
      <c r="F415" s="813"/>
      <c r="G415"/>
      <c r="H415"/>
      <c r="I415" s="245"/>
      <c r="J415" s="295"/>
      <c r="K415" s="124"/>
      <c r="L415" s="299"/>
      <c r="M415" s="299"/>
      <c r="N415" s="299"/>
      <c r="O415" s="299"/>
      <c r="P415" s="299"/>
      <c r="Q415" s="299"/>
      <c r="R415" s="299"/>
      <c r="S415" s="299"/>
      <c r="T415" s="299"/>
      <c r="U415" s="124"/>
      <c r="V415" s="298"/>
      <c r="W415"/>
      <c r="X415"/>
      <c r="Y415"/>
      <c r="Z415" s="245"/>
      <c r="AA415" s="295"/>
      <c r="AB415" s="124"/>
      <c r="AC415" s="299"/>
      <c r="AD415" s="299"/>
      <c r="AE415" s="299"/>
      <c r="AF415" s="299"/>
      <c r="AG415" s="299"/>
      <c r="AH415" s="299"/>
      <c r="AI415" s="299"/>
      <c r="AJ415" s="299"/>
      <c r="AK415" s="299"/>
      <c r="AL415"/>
      <c r="AM415" s="124"/>
      <c r="AN415"/>
    </row>
    <row r="416" spans="1:41" s="350" customFormat="1" x14ac:dyDescent="0.25">
      <c r="A416" s="262"/>
      <c r="B416" s="244"/>
      <c r="C416" s="428"/>
      <c r="D416" s="428"/>
      <c r="E416" s="298"/>
      <c r="F416" s="813"/>
      <c r="G416"/>
      <c r="H416"/>
      <c r="I416" s="245"/>
      <c r="J416" s="295"/>
      <c r="K416" s="124"/>
      <c r="L416" s="299"/>
      <c r="M416" s="299"/>
      <c r="N416" s="299"/>
      <c r="O416" s="299"/>
      <c r="P416" s="299"/>
      <c r="Q416" s="299"/>
      <c r="R416" s="299"/>
      <c r="S416" s="299"/>
      <c r="T416" s="299"/>
      <c r="U416" s="124"/>
      <c r="V416" s="298"/>
      <c r="W416"/>
      <c r="X416"/>
      <c r="Y416"/>
      <c r="Z416" s="245"/>
      <c r="AA416" s="295"/>
      <c r="AB416" s="124"/>
      <c r="AC416" s="299"/>
      <c r="AD416" s="299"/>
      <c r="AE416" s="299"/>
      <c r="AF416" s="299"/>
      <c r="AG416" s="299"/>
      <c r="AH416" s="299"/>
      <c r="AI416" s="299"/>
      <c r="AJ416" s="299"/>
      <c r="AK416" s="299"/>
      <c r="AL416"/>
      <c r="AM416" s="124"/>
      <c r="AN416"/>
    </row>
    <row r="417" spans="1:40" s="350" customFormat="1" x14ac:dyDescent="0.25">
      <c r="A417" s="262"/>
      <c r="B417" s="244"/>
      <c r="C417" s="428"/>
      <c r="D417" s="428"/>
      <c r="E417" s="298"/>
      <c r="F417" s="813"/>
      <c r="G417"/>
      <c r="H417"/>
      <c r="I417" s="245"/>
      <c r="J417" s="295"/>
      <c r="K417" s="124"/>
      <c r="L417" s="299"/>
      <c r="M417" s="299"/>
      <c r="N417" s="299"/>
      <c r="O417" s="299"/>
      <c r="P417" s="299"/>
      <c r="Q417" s="299"/>
      <c r="R417" s="299"/>
      <c r="S417" s="299"/>
      <c r="T417" s="299"/>
      <c r="U417" s="124"/>
      <c r="V417" s="298"/>
      <c r="W417"/>
      <c r="X417"/>
      <c r="Y417"/>
      <c r="Z417" s="245"/>
      <c r="AA417" s="295"/>
      <c r="AB417" s="124"/>
      <c r="AC417" s="299"/>
      <c r="AD417" s="299"/>
      <c r="AE417" s="299"/>
      <c r="AF417" s="299"/>
      <c r="AG417" s="299"/>
      <c r="AH417" s="299"/>
      <c r="AI417" s="299"/>
      <c r="AJ417" s="299"/>
      <c r="AK417" s="299"/>
      <c r="AL417"/>
      <c r="AM417" s="124"/>
      <c r="AN417"/>
    </row>
    <row r="418" spans="1:40" s="39" customFormat="1" x14ac:dyDescent="0.25">
      <c r="A418" s="262"/>
      <c r="B418" s="244"/>
      <c r="C418" s="428"/>
      <c r="D418" s="428"/>
      <c r="E418" s="298"/>
      <c r="F418" s="813"/>
      <c r="G418"/>
      <c r="H418"/>
      <c r="I418" s="245"/>
      <c r="J418" s="295"/>
      <c r="K418" s="124"/>
      <c r="L418" s="299"/>
      <c r="M418" s="299"/>
      <c r="N418" s="299"/>
      <c r="O418" s="299"/>
      <c r="P418" s="299"/>
      <c r="Q418" s="299"/>
      <c r="R418" s="299"/>
      <c r="S418" s="299"/>
      <c r="T418" s="299"/>
      <c r="U418" s="124"/>
      <c r="V418" s="298"/>
      <c r="W418"/>
      <c r="X418"/>
      <c r="Y418"/>
      <c r="Z418" s="245"/>
      <c r="AA418" s="295"/>
      <c r="AB418" s="124"/>
      <c r="AC418" s="299"/>
      <c r="AD418" s="299"/>
      <c r="AE418" s="299"/>
      <c r="AF418" s="299"/>
      <c r="AG418" s="299"/>
      <c r="AH418" s="299"/>
      <c r="AI418" s="299"/>
      <c r="AJ418" s="299"/>
      <c r="AK418" s="299"/>
      <c r="AL418"/>
      <c r="AM418" s="124"/>
      <c r="AN418"/>
    </row>
    <row r="419" spans="1:40" s="39" customFormat="1" x14ac:dyDescent="0.25">
      <c r="A419" s="262"/>
      <c r="B419" s="244"/>
      <c r="C419" s="428"/>
      <c r="D419" s="428"/>
      <c r="E419" s="298"/>
      <c r="F419" s="813"/>
      <c r="G419"/>
      <c r="H419"/>
      <c r="I419" s="245"/>
      <c r="J419" s="295"/>
      <c r="K419" s="124"/>
      <c r="L419" s="299"/>
      <c r="M419" s="299"/>
      <c r="N419" s="299"/>
      <c r="O419" s="299"/>
      <c r="P419" s="299"/>
      <c r="Q419" s="299"/>
      <c r="R419" s="299"/>
      <c r="S419" s="299"/>
      <c r="T419" s="299"/>
      <c r="U419" s="124"/>
      <c r="V419" s="298"/>
      <c r="W419"/>
      <c r="X419"/>
      <c r="Y419"/>
      <c r="Z419" s="245"/>
      <c r="AA419" s="295"/>
      <c r="AB419" s="124"/>
      <c r="AC419" s="299"/>
      <c r="AD419" s="299"/>
      <c r="AE419" s="299"/>
      <c r="AF419" s="299"/>
      <c r="AG419" s="299"/>
      <c r="AH419" s="299"/>
      <c r="AI419" s="299"/>
      <c r="AJ419" s="299"/>
      <c r="AK419" s="299"/>
      <c r="AL419"/>
      <c r="AM419" s="124"/>
      <c r="AN419"/>
    </row>
    <row r="420" spans="1:40" s="39" customFormat="1" x14ac:dyDescent="0.25">
      <c r="A420" s="262"/>
      <c r="B420" s="244"/>
      <c r="C420" s="428"/>
      <c r="D420" s="428"/>
      <c r="E420" s="298"/>
      <c r="F420" s="813"/>
      <c r="G420"/>
      <c r="H420"/>
      <c r="I420" s="245"/>
      <c r="J420" s="295"/>
      <c r="K420" s="124"/>
      <c r="L420" s="299"/>
      <c r="M420" s="299"/>
      <c r="N420" s="299"/>
      <c r="O420" s="299"/>
      <c r="P420" s="299"/>
      <c r="Q420" s="299"/>
      <c r="R420" s="299"/>
      <c r="S420" s="299"/>
      <c r="T420" s="299"/>
      <c r="U420" s="124"/>
      <c r="V420" s="298"/>
      <c r="W420"/>
      <c r="X420"/>
      <c r="Y420"/>
      <c r="Z420" s="245"/>
      <c r="AA420" s="295"/>
      <c r="AB420" s="124"/>
      <c r="AC420" s="299"/>
      <c r="AD420" s="299"/>
      <c r="AE420" s="299"/>
      <c r="AF420" s="299"/>
      <c r="AG420" s="299"/>
      <c r="AH420" s="299"/>
      <c r="AI420" s="299"/>
      <c r="AJ420" s="299"/>
      <c r="AK420" s="299"/>
      <c r="AL420"/>
      <c r="AM420" s="124"/>
      <c r="AN420"/>
    </row>
    <row r="421" spans="1:40" s="39" customFormat="1" x14ac:dyDescent="0.25">
      <c r="A421" s="262"/>
      <c r="B421" s="244"/>
      <c r="C421" s="428"/>
      <c r="D421" s="428"/>
      <c r="E421" s="298"/>
      <c r="F421" s="813"/>
      <c r="G421"/>
      <c r="H421"/>
      <c r="I421" s="245"/>
      <c r="J421" s="295"/>
      <c r="K421" s="124"/>
      <c r="L421" s="299"/>
      <c r="M421" s="299"/>
      <c r="N421" s="299"/>
      <c r="O421" s="299"/>
      <c r="P421" s="299"/>
      <c r="Q421" s="299"/>
      <c r="R421" s="299"/>
      <c r="S421" s="299"/>
      <c r="T421" s="299"/>
      <c r="U421" s="124"/>
      <c r="V421" s="298"/>
      <c r="W421"/>
      <c r="X421"/>
      <c r="Y421"/>
      <c r="Z421" s="245"/>
      <c r="AA421" s="295"/>
      <c r="AB421" s="124"/>
      <c r="AC421" s="299"/>
      <c r="AD421" s="299"/>
      <c r="AE421" s="299"/>
      <c r="AF421" s="299"/>
      <c r="AG421" s="299"/>
      <c r="AH421" s="299"/>
      <c r="AI421" s="299"/>
      <c r="AJ421" s="299"/>
      <c r="AK421" s="299"/>
      <c r="AL421"/>
      <c r="AM421" s="124"/>
      <c r="AN421"/>
    </row>
    <row r="422" spans="1:40" s="39" customFormat="1" x14ac:dyDescent="0.25">
      <c r="A422" s="262"/>
      <c r="B422" s="244"/>
      <c r="C422" s="428"/>
      <c r="D422" s="428"/>
      <c r="E422" s="298"/>
      <c r="F422" s="813"/>
      <c r="G422"/>
      <c r="H422"/>
      <c r="I422" s="245"/>
      <c r="J422" s="295"/>
      <c r="K422" s="124"/>
      <c r="L422" s="299"/>
      <c r="M422" s="299"/>
      <c r="N422" s="299"/>
      <c r="O422" s="299"/>
      <c r="P422" s="299"/>
      <c r="Q422" s="299"/>
      <c r="R422" s="299"/>
      <c r="S422" s="299"/>
      <c r="T422" s="299"/>
      <c r="U422" s="124"/>
      <c r="V422" s="298"/>
      <c r="W422"/>
      <c r="X422"/>
      <c r="Y422"/>
      <c r="Z422" s="245"/>
      <c r="AA422" s="295"/>
      <c r="AB422" s="124"/>
      <c r="AC422" s="299"/>
      <c r="AD422" s="299"/>
      <c r="AE422" s="299"/>
      <c r="AF422" s="299"/>
      <c r="AG422" s="299"/>
      <c r="AH422" s="299"/>
      <c r="AI422" s="299"/>
      <c r="AJ422" s="299"/>
      <c r="AK422" s="299"/>
      <c r="AL422"/>
      <c r="AM422" s="124"/>
      <c r="AN422"/>
    </row>
    <row r="423" spans="1:40" s="39" customFormat="1" x14ac:dyDescent="0.25">
      <c r="A423" s="262"/>
      <c r="B423" s="244"/>
      <c r="C423" s="428"/>
      <c r="D423" s="428"/>
      <c r="E423" s="298"/>
      <c r="F423" s="813"/>
      <c r="G423"/>
      <c r="H423"/>
      <c r="I423" s="245"/>
      <c r="J423" s="295"/>
      <c r="K423" s="124"/>
      <c r="L423" s="299"/>
      <c r="M423" s="299"/>
      <c r="N423" s="299"/>
      <c r="O423" s="299"/>
      <c r="P423" s="299"/>
      <c r="Q423" s="299"/>
      <c r="R423" s="299"/>
      <c r="S423" s="299"/>
      <c r="T423" s="299"/>
      <c r="U423" s="124"/>
      <c r="V423" s="298"/>
      <c r="W423"/>
      <c r="X423"/>
      <c r="Y423"/>
      <c r="Z423" s="245"/>
      <c r="AA423" s="295"/>
      <c r="AB423" s="124"/>
      <c r="AC423" s="299"/>
      <c r="AD423" s="299"/>
      <c r="AE423" s="299"/>
      <c r="AF423" s="299"/>
      <c r="AG423" s="299"/>
      <c r="AH423" s="299"/>
      <c r="AI423" s="299"/>
      <c r="AJ423" s="299"/>
      <c r="AK423" s="299"/>
      <c r="AL423"/>
      <c r="AM423" s="124"/>
      <c r="AN423"/>
    </row>
    <row r="424" spans="1:40" s="39" customFormat="1" x14ac:dyDescent="0.25">
      <c r="A424" s="262"/>
      <c r="B424" s="244"/>
      <c r="C424" s="428"/>
      <c r="D424" s="428"/>
      <c r="E424" s="298"/>
      <c r="F424" s="813"/>
      <c r="G424"/>
      <c r="H424"/>
      <c r="I424" s="245"/>
      <c r="J424" s="295"/>
      <c r="K424" s="124"/>
      <c r="L424" s="299"/>
      <c r="M424" s="299"/>
      <c r="N424" s="299"/>
      <c r="O424" s="299"/>
      <c r="P424" s="299"/>
      <c r="Q424" s="299"/>
      <c r="R424" s="299"/>
      <c r="S424" s="299"/>
      <c r="T424" s="299"/>
      <c r="U424" s="124"/>
      <c r="V424" s="298"/>
      <c r="W424"/>
      <c r="X424"/>
      <c r="Y424"/>
      <c r="Z424" s="245"/>
      <c r="AA424" s="295"/>
      <c r="AB424" s="124"/>
      <c r="AC424" s="299"/>
      <c r="AD424" s="299"/>
      <c r="AE424" s="299"/>
      <c r="AF424" s="299"/>
      <c r="AG424" s="299"/>
      <c r="AH424" s="299"/>
      <c r="AI424" s="299"/>
      <c r="AJ424" s="299"/>
      <c r="AK424" s="299"/>
      <c r="AL424"/>
      <c r="AM424" s="124"/>
      <c r="AN424"/>
    </row>
    <row r="425" spans="1:40" s="39" customFormat="1" x14ac:dyDescent="0.25">
      <c r="A425" s="262"/>
      <c r="B425" s="244"/>
      <c r="C425" s="428"/>
      <c r="D425" s="428"/>
      <c r="E425" s="298"/>
      <c r="F425" s="813"/>
      <c r="G425"/>
      <c r="H425"/>
      <c r="I425" s="245"/>
      <c r="J425" s="295"/>
      <c r="K425" s="124"/>
      <c r="L425" s="299"/>
      <c r="M425" s="299"/>
      <c r="N425" s="299"/>
      <c r="O425" s="299"/>
      <c r="P425" s="299"/>
      <c r="Q425" s="299"/>
      <c r="R425" s="299"/>
      <c r="S425" s="299"/>
      <c r="T425" s="299"/>
      <c r="U425" s="124"/>
      <c r="V425" s="298"/>
      <c r="W425"/>
      <c r="X425"/>
      <c r="Y425"/>
      <c r="Z425" s="245"/>
      <c r="AA425" s="295"/>
      <c r="AB425" s="124"/>
      <c r="AC425" s="299"/>
      <c r="AD425" s="299"/>
      <c r="AE425" s="299"/>
      <c r="AF425" s="299"/>
      <c r="AG425" s="299"/>
      <c r="AH425" s="299"/>
      <c r="AI425" s="299"/>
      <c r="AJ425" s="299"/>
      <c r="AK425" s="299"/>
      <c r="AL425"/>
      <c r="AM425" s="124"/>
      <c r="AN425"/>
    </row>
    <row r="426" spans="1:40" s="39" customFormat="1" x14ac:dyDescent="0.25">
      <c r="A426" s="262"/>
      <c r="B426" s="244"/>
      <c r="C426" s="428"/>
      <c r="D426" s="428"/>
      <c r="E426" s="298"/>
      <c r="F426" s="813"/>
      <c r="G426"/>
      <c r="H426"/>
      <c r="I426" s="245"/>
      <c r="J426" s="295"/>
      <c r="K426" s="124"/>
      <c r="L426" s="299"/>
      <c r="M426" s="299"/>
      <c r="N426" s="299"/>
      <c r="O426" s="299"/>
      <c r="P426" s="299"/>
      <c r="Q426" s="299"/>
      <c r="R426" s="299"/>
      <c r="S426" s="299"/>
      <c r="T426" s="299"/>
      <c r="U426" s="124"/>
      <c r="V426" s="298"/>
      <c r="W426"/>
      <c r="X426"/>
      <c r="Y426"/>
      <c r="Z426" s="245"/>
      <c r="AA426" s="295"/>
      <c r="AB426" s="124"/>
      <c r="AC426" s="299"/>
      <c r="AD426" s="299"/>
      <c r="AE426" s="299"/>
      <c r="AF426" s="299"/>
      <c r="AG426" s="299"/>
      <c r="AH426" s="299"/>
      <c r="AI426" s="299"/>
      <c r="AJ426" s="299"/>
      <c r="AK426" s="299"/>
      <c r="AL426"/>
      <c r="AM426" s="124"/>
      <c r="AN426"/>
    </row>
    <row r="427" spans="1:40" s="39" customFormat="1" x14ac:dyDescent="0.25">
      <c r="A427" s="262"/>
      <c r="B427" s="244"/>
      <c r="C427" s="428"/>
      <c r="D427" s="428"/>
      <c r="E427" s="298"/>
      <c r="F427" s="813"/>
      <c r="G427"/>
      <c r="H427"/>
      <c r="I427" s="245"/>
      <c r="J427" s="295"/>
      <c r="K427" s="124"/>
      <c r="L427" s="299"/>
      <c r="M427" s="299"/>
      <c r="N427" s="299"/>
      <c r="O427" s="299"/>
      <c r="P427" s="299"/>
      <c r="Q427" s="299"/>
      <c r="R427" s="299"/>
      <c r="S427" s="299"/>
      <c r="T427" s="299"/>
      <c r="U427" s="124"/>
      <c r="V427" s="298"/>
      <c r="W427"/>
      <c r="X427"/>
      <c r="Y427"/>
      <c r="Z427" s="245"/>
      <c r="AA427" s="295"/>
      <c r="AB427" s="124"/>
      <c r="AC427" s="299"/>
      <c r="AD427" s="299"/>
      <c r="AE427" s="299"/>
      <c r="AF427" s="299"/>
      <c r="AG427" s="299"/>
      <c r="AH427" s="299"/>
      <c r="AI427" s="299"/>
      <c r="AJ427" s="299"/>
      <c r="AK427" s="299"/>
      <c r="AL427"/>
      <c r="AM427" s="124"/>
      <c r="AN427"/>
    </row>
    <row r="428" spans="1:40" s="39" customFormat="1" x14ac:dyDescent="0.25">
      <c r="A428" s="262"/>
      <c r="B428" s="244"/>
      <c r="C428" s="428"/>
      <c r="D428" s="428"/>
      <c r="E428" s="298"/>
      <c r="F428" s="813"/>
      <c r="G428"/>
      <c r="H428"/>
      <c r="I428" s="245"/>
      <c r="J428" s="295"/>
      <c r="K428" s="124"/>
      <c r="L428" s="299"/>
      <c r="M428" s="299"/>
      <c r="N428" s="299"/>
      <c r="O428" s="299"/>
      <c r="P428" s="299"/>
      <c r="Q428" s="299"/>
      <c r="R428" s="299"/>
      <c r="S428" s="299"/>
      <c r="T428" s="299"/>
      <c r="U428" s="124"/>
      <c r="V428" s="298"/>
      <c r="W428"/>
      <c r="X428"/>
      <c r="Y428"/>
      <c r="Z428" s="245"/>
      <c r="AA428" s="295"/>
      <c r="AB428" s="124"/>
      <c r="AC428" s="299"/>
      <c r="AD428" s="299"/>
      <c r="AE428" s="299"/>
      <c r="AF428" s="299"/>
      <c r="AG428" s="299"/>
      <c r="AH428" s="299"/>
      <c r="AI428" s="299"/>
      <c r="AJ428" s="299"/>
      <c r="AK428" s="299"/>
      <c r="AL428"/>
      <c r="AM428" s="124"/>
      <c r="AN428"/>
    </row>
    <row r="429" spans="1:40" s="39" customFormat="1" x14ac:dyDescent="0.25">
      <c r="A429" s="262"/>
      <c r="B429" s="244"/>
      <c r="C429" s="428"/>
      <c r="D429" s="428"/>
      <c r="E429" s="298"/>
      <c r="F429" s="813"/>
      <c r="G429"/>
      <c r="H429"/>
      <c r="I429" s="245"/>
      <c r="J429" s="295"/>
      <c r="K429" s="124"/>
      <c r="L429" s="299"/>
      <c r="M429" s="299"/>
      <c r="N429" s="299"/>
      <c r="O429" s="299"/>
      <c r="P429" s="299"/>
      <c r="Q429" s="299"/>
      <c r="R429" s="299"/>
      <c r="S429" s="299"/>
      <c r="T429" s="299"/>
      <c r="U429" s="124"/>
      <c r="V429" s="298"/>
      <c r="W429"/>
      <c r="X429"/>
      <c r="Y429"/>
      <c r="Z429" s="245"/>
      <c r="AA429" s="295"/>
      <c r="AB429" s="124"/>
      <c r="AC429" s="299"/>
      <c r="AD429" s="299"/>
      <c r="AE429" s="299"/>
      <c r="AF429" s="299"/>
      <c r="AG429" s="299"/>
      <c r="AH429" s="299"/>
      <c r="AI429" s="299"/>
      <c r="AJ429" s="299"/>
      <c r="AK429" s="299"/>
      <c r="AL429"/>
      <c r="AM429" s="124"/>
      <c r="AN429"/>
    </row>
    <row r="430" spans="1:40" s="39" customFormat="1" x14ac:dyDescent="0.25">
      <c r="A430" s="262"/>
      <c r="B430" s="244"/>
      <c r="C430" s="428"/>
      <c r="D430" s="428"/>
      <c r="E430" s="298"/>
      <c r="F430" s="813"/>
      <c r="G430"/>
      <c r="H430"/>
      <c r="I430" s="245"/>
      <c r="J430" s="295"/>
      <c r="K430" s="124"/>
      <c r="L430" s="299"/>
      <c r="M430" s="299"/>
      <c r="N430" s="299"/>
      <c r="O430" s="299"/>
      <c r="P430" s="299"/>
      <c r="Q430" s="299"/>
      <c r="R430" s="299"/>
      <c r="S430" s="299"/>
      <c r="T430" s="299"/>
      <c r="U430" s="124"/>
      <c r="V430" s="298"/>
      <c r="W430"/>
      <c r="X430"/>
      <c r="Y430"/>
      <c r="Z430" s="245"/>
      <c r="AA430" s="295"/>
      <c r="AB430" s="124"/>
      <c r="AC430" s="299"/>
      <c r="AD430" s="299"/>
      <c r="AE430" s="299"/>
      <c r="AF430" s="299"/>
      <c r="AG430" s="299"/>
      <c r="AH430" s="299"/>
      <c r="AI430" s="299"/>
      <c r="AJ430" s="299"/>
      <c r="AK430" s="299"/>
      <c r="AL430"/>
      <c r="AM430" s="124"/>
      <c r="AN430"/>
    </row>
    <row r="431" spans="1:40" s="39" customFormat="1" x14ac:dyDescent="0.25">
      <c r="A431" s="262"/>
      <c r="B431" s="244"/>
      <c r="C431" s="428"/>
      <c r="D431" s="428"/>
      <c r="E431" s="298"/>
      <c r="F431" s="813"/>
      <c r="G431"/>
      <c r="H431"/>
      <c r="I431" s="245"/>
      <c r="J431" s="295"/>
      <c r="K431" s="124"/>
      <c r="L431" s="299"/>
      <c r="M431" s="299"/>
      <c r="N431" s="299"/>
      <c r="O431" s="299"/>
      <c r="P431" s="299"/>
      <c r="Q431" s="299"/>
      <c r="R431" s="299"/>
      <c r="S431" s="299"/>
      <c r="T431" s="299"/>
      <c r="U431" s="124"/>
      <c r="V431" s="298"/>
      <c r="W431"/>
      <c r="X431"/>
      <c r="Y431"/>
      <c r="Z431" s="245"/>
      <c r="AA431" s="295"/>
      <c r="AB431" s="124"/>
      <c r="AC431" s="299"/>
      <c r="AD431" s="299"/>
      <c r="AE431" s="299"/>
      <c r="AF431" s="299"/>
      <c r="AG431" s="299"/>
      <c r="AH431" s="299"/>
      <c r="AI431" s="299"/>
      <c r="AJ431" s="299"/>
      <c r="AK431" s="299"/>
      <c r="AL431"/>
      <c r="AM431" s="124"/>
      <c r="AN431"/>
    </row>
    <row r="432" spans="1:40" s="39" customFormat="1" x14ac:dyDescent="0.25">
      <c r="A432" s="262"/>
      <c r="B432" s="244"/>
      <c r="C432" s="428"/>
      <c r="D432" s="428"/>
      <c r="E432" s="298"/>
      <c r="F432" s="813"/>
      <c r="G432"/>
      <c r="H432"/>
      <c r="I432" s="245"/>
      <c r="J432" s="295"/>
      <c r="K432" s="124"/>
      <c r="L432" s="299"/>
      <c r="M432" s="299"/>
      <c r="N432" s="299"/>
      <c r="O432" s="299"/>
      <c r="P432" s="299"/>
      <c r="Q432" s="299"/>
      <c r="R432" s="299"/>
      <c r="S432" s="299"/>
      <c r="T432" s="299"/>
      <c r="U432" s="124"/>
      <c r="V432" s="298"/>
      <c r="W432"/>
      <c r="X432"/>
      <c r="Y432"/>
      <c r="Z432" s="245"/>
      <c r="AA432" s="295"/>
      <c r="AB432" s="124"/>
      <c r="AC432" s="299"/>
      <c r="AD432" s="299"/>
      <c r="AE432" s="299"/>
      <c r="AF432" s="299"/>
      <c r="AG432" s="299"/>
      <c r="AH432" s="299"/>
      <c r="AI432" s="299"/>
      <c r="AJ432" s="299"/>
      <c r="AK432" s="299"/>
      <c r="AL432"/>
      <c r="AM432" s="124"/>
      <c r="AN432"/>
    </row>
    <row r="433" spans="1:40" s="39" customFormat="1" x14ac:dyDescent="0.25">
      <c r="A433" s="262"/>
      <c r="B433" s="244"/>
      <c r="C433" s="428"/>
      <c r="D433" s="428"/>
      <c r="E433" s="298"/>
      <c r="F433" s="813"/>
      <c r="G433"/>
      <c r="H433"/>
      <c r="I433" s="245"/>
      <c r="J433" s="295"/>
      <c r="K433" s="124"/>
      <c r="L433" s="299"/>
      <c r="M433" s="299"/>
      <c r="N433" s="299"/>
      <c r="O433" s="299"/>
      <c r="P433" s="299"/>
      <c r="Q433" s="299"/>
      <c r="R433" s="299"/>
      <c r="S433" s="299"/>
      <c r="T433" s="299"/>
      <c r="U433" s="124"/>
      <c r="V433" s="298"/>
      <c r="W433"/>
      <c r="X433"/>
      <c r="Y433"/>
      <c r="Z433" s="245"/>
      <c r="AA433" s="295"/>
      <c r="AB433" s="124"/>
      <c r="AC433" s="299"/>
      <c r="AD433" s="299"/>
      <c r="AE433" s="299"/>
      <c r="AF433" s="299"/>
      <c r="AG433" s="299"/>
      <c r="AH433" s="299"/>
      <c r="AI433" s="299"/>
      <c r="AJ433" s="299"/>
      <c r="AK433" s="299"/>
      <c r="AL433"/>
      <c r="AM433" s="124"/>
      <c r="AN433"/>
    </row>
    <row r="434" spans="1:40" s="39" customFormat="1" x14ac:dyDescent="0.25">
      <c r="A434" s="262"/>
      <c r="B434" s="244"/>
      <c r="C434" s="428"/>
      <c r="D434" s="428"/>
      <c r="E434" s="298"/>
      <c r="F434" s="813"/>
      <c r="G434"/>
      <c r="H434"/>
      <c r="I434" s="245"/>
      <c r="J434" s="295"/>
      <c r="K434" s="124"/>
      <c r="L434" s="299"/>
      <c r="M434" s="299"/>
      <c r="N434" s="299"/>
      <c r="O434" s="299"/>
      <c r="P434" s="299"/>
      <c r="Q434" s="299"/>
      <c r="R434" s="299"/>
      <c r="S434" s="299"/>
      <c r="T434" s="299"/>
      <c r="U434" s="124"/>
      <c r="V434" s="298"/>
      <c r="W434"/>
      <c r="X434"/>
      <c r="Y434"/>
      <c r="Z434" s="245"/>
      <c r="AA434" s="295"/>
      <c r="AB434" s="124"/>
      <c r="AC434" s="299"/>
      <c r="AD434" s="299"/>
      <c r="AE434" s="299"/>
      <c r="AF434" s="299"/>
      <c r="AG434" s="299"/>
      <c r="AH434" s="299"/>
      <c r="AI434" s="299"/>
      <c r="AJ434" s="299"/>
      <c r="AK434" s="299"/>
      <c r="AL434"/>
      <c r="AM434" s="124"/>
      <c r="AN434"/>
    </row>
    <row r="435" spans="1:40" s="39" customFormat="1" x14ac:dyDescent="0.25">
      <c r="A435" s="262"/>
      <c r="B435" s="244"/>
      <c r="C435" s="428"/>
      <c r="D435" s="428"/>
      <c r="E435" s="298"/>
      <c r="F435" s="813"/>
      <c r="G435"/>
      <c r="H435"/>
      <c r="I435" s="245"/>
      <c r="J435" s="295"/>
      <c r="K435" s="124"/>
      <c r="L435" s="299"/>
      <c r="M435" s="299"/>
      <c r="N435" s="299"/>
      <c r="O435" s="299"/>
      <c r="P435" s="299"/>
      <c r="Q435" s="299"/>
      <c r="R435" s="299"/>
      <c r="S435" s="299"/>
      <c r="T435" s="299"/>
      <c r="U435" s="124"/>
      <c r="V435" s="298"/>
      <c r="W435"/>
      <c r="X435"/>
      <c r="Y435"/>
      <c r="Z435" s="245"/>
      <c r="AA435" s="295"/>
      <c r="AB435" s="124"/>
      <c r="AC435" s="299"/>
      <c r="AD435" s="299"/>
      <c r="AE435" s="299"/>
      <c r="AF435" s="299"/>
      <c r="AG435" s="299"/>
      <c r="AH435" s="299"/>
      <c r="AI435" s="299"/>
      <c r="AJ435" s="299"/>
      <c r="AK435" s="299"/>
      <c r="AL435"/>
      <c r="AM435" s="124"/>
      <c r="AN435"/>
    </row>
    <row r="436" spans="1:40" s="39" customFormat="1" x14ac:dyDescent="0.25">
      <c r="A436" s="262"/>
      <c r="B436" s="244"/>
      <c r="C436" s="428"/>
      <c r="D436" s="428"/>
      <c r="E436" s="298"/>
      <c r="F436" s="813"/>
      <c r="G436"/>
      <c r="H436"/>
      <c r="I436" s="245"/>
      <c r="J436" s="295"/>
      <c r="K436" s="124"/>
      <c r="L436" s="299"/>
      <c r="M436" s="299"/>
      <c r="N436" s="299"/>
      <c r="O436" s="299"/>
      <c r="P436" s="299"/>
      <c r="Q436" s="299"/>
      <c r="R436" s="299"/>
      <c r="S436" s="299"/>
      <c r="T436" s="299"/>
      <c r="U436" s="124"/>
      <c r="V436" s="298"/>
      <c r="W436"/>
      <c r="X436"/>
      <c r="Y436"/>
      <c r="Z436" s="245"/>
      <c r="AA436" s="295"/>
      <c r="AB436" s="124"/>
      <c r="AC436" s="299"/>
      <c r="AD436" s="299"/>
      <c r="AE436" s="299"/>
      <c r="AF436" s="299"/>
      <c r="AG436" s="299"/>
      <c r="AH436" s="299"/>
      <c r="AI436" s="299"/>
      <c r="AJ436" s="299"/>
      <c r="AK436" s="299"/>
      <c r="AL436"/>
      <c r="AM436" s="124"/>
      <c r="AN436"/>
    </row>
    <row r="437" spans="1:40" s="39" customFormat="1" x14ac:dyDescent="0.25">
      <c r="A437" s="262"/>
      <c r="B437" s="244"/>
      <c r="C437" s="428"/>
      <c r="D437" s="428"/>
      <c r="E437" s="298"/>
      <c r="F437" s="813"/>
      <c r="G437"/>
      <c r="H437"/>
      <c r="I437" s="245"/>
      <c r="J437" s="295"/>
      <c r="K437" s="124"/>
      <c r="L437" s="299"/>
      <c r="M437" s="299"/>
      <c r="N437" s="299"/>
      <c r="O437" s="299"/>
      <c r="P437" s="299"/>
      <c r="Q437" s="299"/>
      <c r="R437" s="299"/>
      <c r="S437" s="299"/>
      <c r="T437" s="299"/>
      <c r="U437" s="124"/>
      <c r="V437" s="298"/>
      <c r="W437"/>
      <c r="X437"/>
      <c r="Y437"/>
      <c r="Z437" s="245"/>
      <c r="AA437" s="295"/>
      <c r="AB437" s="124"/>
      <c r="AC437" s="299"/>
      <c r="AD437" s="299"/>
      <c r="AE437" s="299"/>
      <c r="AF437" s="299"/>
      <c r="AG437" s="299"/>
      <c r="AH437" s="299"/>
      <c r="AI437" s="299"/>
      <c r="AJ437" s="299"/>
      <c r="AK437" s="299"/>
      <c r="AL437"/>
      <c r="AM437" s="124"/>
      <c r="AN437"/>
    </row>
    <row r="438" spans="1:40" s="39" customFormat="1" x14ac:dyDescent="0.25">
      <c r="A438" s="262"/>
      <c r="B438" s="244"/>
      <c r="C438" s="428"/>
      <c r="D438" s="428"/>
      <c r="E438" s="298"/>
      <c r="F438" s="813"/>
      <c r="G438"/>
      <c r="H438"/>
      <c r="I438" s="245"/>
      <c r="J438" s="295"/>
      <c r="K438" s="124"/>
      <c r="L438" s="299"/>
      <c r="M438" s="299"/>
      <c r="N438" s="299"/>
      <c r="O438" s="299"/>
      <c r="P438" s="299"/>
      <c r="Q438" s="299"/>
      <c r="R438" s="299"/>
      <c r="S438" s="299"/>
      <c r="T438" s="299"/>
      <c r="U438" s="124"/>
      <c r="V438" s="298"/>
      <c r="W438"/>
      <c r="X438"/>
      <c r="Y438"/>
      <c r="Z438" s="245"/>
      <c r="AA438" s="295"/>
      <c r="AB438" s="124"/>
      <c r="AC438" s="299"/>
      <c r="AD438" s="299"/>
      <c r="AE438" s="299"/>
      <c r="AF438" s="299"/>
      <c r="AG438" s="299"/>
      <c r="AH438" s="299"/>
      <c r="AI438" s="299"/>
      <c r="AJ438" s="299"/>
      <c r="AK438" s="299"/>
      <c r="AL438"/>
      <c r="AM438" s="124"/>
      <c r="AN438"/>
    </row>
    <row r="439" spans="1:40" s="39" customFormat="1" x14ac:dyDescent="0.25">
      <c r="A439" s="262"/>
      <c r="B439" s="244"/>
      <c r="C439" s="428"/>
      <c r="D439" s="428"/>
      <c r="E439" s="298"/>
      <c r="F439" s="813"/>
      <c r="G439"/>
      <c r="H439"/>
      <c r="I439" s="245"/>
      <c r="J439" s="295"/>
      <c r="K439" s="124"/>
      <c r="L439" s="299"/>
      <c r="M439" s="299"/>
      <c r="N439" s="299"/>
      <c r="O439" s="299"/>
      <c r="P439" s="299"/>
      <c r="Q439" s="299"/>
      <c r="R439" s="299"/>
      <c r="S439" s="299"/>
      <c r="T439" s="299"/>
      <c r="U439" s="124"/>
      <c r="V439" s="298"/>
      <c r="W439"/>
      <c r="X439"/>
      <c r="Y439"/>
      <c r="Z439" s="245"/>
      <c r="AA439" s="295"/>
      <c r="AB439" s="124"/>
      <c r="AC439" s="299"/>
      <c r="AD439" s="299"/>
      <c r="AE439" s="299"/>
      <c r="AF439" s="299"/>
      <c r="AG439" s="299"/>
      <c r="AH439" s="299"/>
      <c r="AI439" s="299"/>
      <c r="AJ439" s="299"/>
      <c r="AK439" s="299"/>
      <c r="AL439"/>
      <c r="AM439" s="124"/>
      <c r="AN439"/>
    </row>
    <row r="440" spans="1:40" s="350" customFormat="1" x14ac:dyDescent="0.25">
      <c r="A440" s="262"/>
      <c r="B440" s="244"/>
      <c r="C440" s="428"/>
      <c r="D440" s="428"/>
      <c r="E440" s="298"/>
      <c r="F440" s="813"/>
      <c r="G440"/>
      <c r="H440"/>
      <c r="I440" s="245"/>
      <c r="J440" s="295"/>
      <c r="K440" s="124"/>
      <c r="L440" s="299"/>
      <c r="M440" s="299"/>
      <c r="N440" s="299"/>
      <c r="O440" s="299"/>
      <c r="P440" s="299"/>
      <c r="Q440" s="299"/>
      <c r="R440" s="299"/>
      <c r="S440" s="299"/>
      <c r="T440" s="299"/>
      <c r="U440" s="124"/>
      <c r="V440" s="298"/>
      <c r="W440"/>
      <c r="X440"/>
      <c r="Y440"/>
      <c r="Z440" s="245"/>
      <c r="AA440" s="295"/>
      <c r="AB440" s="124"/>
      <c r="AC440" s="299"/>
      <c r="AD440" s="299"/>
      <c r="AE440" s="299"/>
      <c r="AF440" s="299"/>
      <c r="AG440" s="299"/>
      <c r="AH440" s="299"/>
      <c r="AI440" s="299"/>
      <c r="AJ440" s="299"/>
      <c r="AK440" s="299"/>
      <c r="AL440"/>
      <c r="AM440" s="124"/>
      <c r="AN440"/>
    </row>
    <row r="441" spans="1:40" s="39" customFormat="1" x14ac:dyDescent="0.25">
      <c r="A441" s="262"/>
      <c r="B441" s="244"/>
      <c r="C441" s="428"/>
      <c r="D441" s="428"/>
      <c r="E441" s="298"/>
      <c r="F441" s="813"/>
      <c r="G441"/>
      <c r="H441"/>
      <c r="I441" s="245"/>
      <c r="J441" s="295"/>
      <c r="K441" s="124"/>
      <c r="L441" s="299"/>
      <c r="M441" s="299"/>
      <c r="N441" s="299"/>
      <c r="O441" s="299"/>
      <c r="P441" s="299"/>
      <c r="Q441" s="299"/>
      <c r="R441" s="299"/>
      <c r="S441" s="299"/>
      <c r="T441" s="299"/>
      <c r="U441" s="124"/>
      <c r="V441" s="298"/>
      <c r="W441"/>
      <c r="X441"/>
      <c r="Y441"/>
      <c r="Z441" s="245"/>
      <c r="AA441" s="295"/>
      <c r="AB441" s="124"/>
      <c r="AC441" s="299"/>
      <c r="AD441" s="299"/>
      <c r="AE441" s="299"/>
      <c r="AF441" s="299"/>
      <c r="AG441" s="299"/>
      <c r="AH441" s="299"/>
      <c r="AI441" s="299"/>
      <c r="AJ441" s="299"/>
      <c r="AK441" s="299"/>
      <c r="AL441"/>
      <c r="AM441" s="124"/>
      <c r="AN441"/>
    </row>
    <row r="442" spans="1:40" s="39" customFormat="1" x14ac:dyDescent="0.25">
      <c r="A442" s="262"/>
      <c r="B442" s="244"/>
      <c r="C442" s="428"/>
      <c r="D442" s="428"/>
      <c r="E442" s="298"/>
      <c r="F442" s="813"/>
      <c r="G442"/>
      <c r="H442"/>
      <c r="I442" s="245"/>
      <c r="J442" s="295"/>
      <c r="K442" s="124"/>
      <c r="L442" s="299"/>
      <c r="M442" s="299"/>
      <c r="N442" s="299"/>
      <c r="O442" s="299"/>
      <c r="P442" s="299"/>
      <c r="Q442" s="299"/>
      <c r="R442" s="299"/>
      <c r="S442" s="299"/>
      <c r="T442" s="299"/>
      <c r="U442" s="124"/>
      <c r="V442" s="298"/>
      <c r="W442"/>
      <c r="X442"/>
      <c r="Y442"/>
      <c r="Z442" s="245"/>
      <c r="AA442" s="295"/>
      <c r="AB442" s="124"/>
      <c r="AC442" s="299"/>
      <c r="AD442" s="299"/>
      <c r="AE442" s="299"/>
      <c r="AF442" s="299"/>
      <c r="AG442" s="299"/>
      <c r="AH442" s="299"/>
      <c r="AI442" s="299"/>
      <c r="AJ442" s="299"/>
      <c r="AK442" s="299"/>
      <c r="AL442"/>
      <c r="AM442" s="124"/>
      <c r="AN442"/>
    </row>
    <row r="443" spans="1:40" s="350" customFormat="1" x14ac:dyDescent="0.25">
      <c r="A443" s="262"/>
      <c r="B443" s="244"/>
      <c r="C443" s="428"/>
      <c r="D443" s="428"/>
      <c r="E443" s="298"/>
      <c r="F443" s="813"/>
      <c r="G443"/>
      <c r="H443"/>
      <c r="I443" s="245"/>
      <c r="J443" s="295"/>
      <c r="K443" s="124"/>
      <c r="L443" s="299"/>
      <c r="M443" s="299"/>
      <c r="N443" s="299"/>
      <c r="O443" s="299"/>
      <c r="P443" s="299"/>
      <c r="Q443" s="299"/>
      <c r="R443" s="299"/>
      <c r="S443" s="299"/>
      <c r="T443" s="299"/>
      <c r="U443" s="124"/>
      <c r="V443" s="298"/>
      <c r="W443"/>
      <c r="X443"/>
      <c r="Y443"/>
      <c r="Z443" s="245"/>
      <c r="AA443" s="295"/>
      <c r="AB443" s="124"/>
      <c r="AC443" s="299"/>
      <c r="AD443" s="299"/>
      <c r="AE443" s="299"/>
      <c r="AF443" s="299"/>
      <c r="AG443" s="299"/>
      <c r="AH443" s="299"/>
      <c r="AI443" s="299"/>
      <c r="AJ443" s="299"/>
      <c r="AK443" s="299"/>
      <c r="AL443"/>
      <c r="AM443" s="124"/>
      <c r="AN443"/>
    </row>
    <row r="444" spans="1:40" s="350" customFormat="1" x14ac:dyDescent="0.25">
      <c r="A444" s="262"/>
      <c r="B444" s="244"/>
      <c r="C444" s="428"/>
      <c r="D444" s="428"/>
      <c r="E444" s="298"/>
      <c r="F444" s="813"/>
      <c r="G444"/>
      <c r="H444"/>
      <c r="I444" s="245"/>
      <c r="J444" s="295"/>
      <c r="K444" s="124"/>
      <c r="L444" s="299"/>
      <c r="M444" s="299"/>
      <c r="N444" s="299"/>
      <c r="O444" s="299"/>
      <c r="P444" s="299"/>
      <c r="Q444" s="299"/>
      <c r="R444" s="299"/>
      <c r="S444" s="299"/>
      <c r="T444" s="299"/>
      <c r="U444" s="124"/>
      <c r="V444" s="298"/>
      <c r="W444"/>
      <c r="X444"/>
      <c r="Y444"/>
      <c r="Z444" s="245"/>
      <c r="AA444" s="295"/>
      <c r="AB444" s="124"/>
      <c r="AC444" s="299"/>
      <c r="AD444" s="299"/>
      <c r="AE444" s="299"/>
      <c r="AF444" s="299"/>
      <c r="AG444" s="299"/>
      <c r="AH444" s="299"/>
      <c r="AI444" s="299"/>
      <c r="AJ444" s="299"/>
      <c r="AK444" s="299"/>
      <c r="AL444"/>
      <c r="AM444" s="124"/>
      <c r="AN444"/>
    </row>
    <row r="445" spans="1:40" s="379" customFormat="1" x14ac:dyDescent="0.25">
      <c r="A445" s="262"/>
      <c r="B445" s="244"/>
      <c r="C445" s="428"/>
      <c r="D445" s="428"/>
      <c r="E445" s="298"/>
      <c r="F445" s="813"/>
      <c r="G445"/>
      <c r="H445"/>
      <c r="I445" s="245"/>
      <c r="J445" s="295"/>
      <c r="K445" s="124"/>
      <c r="L445" s="299"/>
      <c r="M445" s="299"/>
      <c r="N445" s="299"/>
      <c r="O445" s="299"/>
      <c r="P445" s="299"/>
      <c r="Q445" s="299"/>
      <c r="R445" s="299"/>
      <c r="S445" s="299"/>
      <c r="T445" s="299"/>
      <c r="U445" s="124"/>
      <c r="V445" s="298"/>
      <c r="W445"/>
      <c r="X445"/>
      <c r="Y445"/>
      <c r="Z445" s="245"/>
      <c r="AA445" s="295"/>
      <c r="AB445" s="124"/>
      <c r="AC445" s="299"/>
      <c r="AD445" s="299"/>
      <c r="AE445" s="299"/>
      <c r="AF445" s="299"/>
      <c r="AG445" s="299"/>
      <c r="AH445" s="299"/>
      <c r="AI445" s="299"/>
      <c r="AJ445" s="299"/>
      <c r="AK445" s="299"/>
      <c r="AL445"/>
      <c r="AM445" s="124"/>
      <c r="AN445"/>
    </row>
    <row r="446" spans="1:40" s="39" customFormat="1" x14ac:dyDescent="0.25">
      <c r="A446" s="262"/>
      <c r="B446" s="244"/>
      <c r="C446" s="428"/>
      <c r="D446" s="428"/>
      <c r="E446" s="298"/>
      <c r="F446" s="813"/>
      <c r="G446"/>
      <c r="H446"/>
      <c r="I446" s="245"/>
      <c r="J446" s="295"/>
      <c r="K446" s="124"/>
      <c r="L446" s="299"/>
      <c r="M446" s="299"/>
      <c r="N446" s="299"/>
      <c r="O446" s="299"/>
      <c r="P446" s="299"/>
      <c r="Q446" s="299"/>
      <c r="R446" s="299"/>
      <c r="S446" s="299"/>
      <c r="T446" s="299"/>
      <c r="U446" s="124"/>
      <c r="V446" s="298"/>
      <c r="W446"/>
      <c r="X446"/>
      <c r="Y446"/>
      <c r="Z446" s="245"/>
      <c r="AA446" s="295"/>
      <c r="AB446" s="124"/>
      <c r="AC446" s="299"/>
      <c r="AD446" s="299"/>
      <c r="AE446" s="299"/>
      <c r="AF446" s="299"/>
      <c r="AG446" s="299"/>
      <c r="AH446" s="299"/>
      <c r="AI446" s="299"/>
      <c r="AJ446" s="299"/>
      <c r="AK446" s="299"/>
      <c r="AL446"/>
      <c r="AM446" s="124"/>
      <c r="AN446"/>
    </row>
    <row r="447" spans="1:40" s="30" customFormat="1" x14ac:dyDescent="0.25">
      <c r="A447" s="262"/>
      <c r="B447" s="244"/>
      <c r="C447" s="428"/>
      <c r="D447" s="428"/>
      <c r="E447" s="298"/>
      <c r="F447" s="813"/>
      <c r="G447"/>
      <c r="H447"/>
      <c r="I447" s="245"/>
      <c r="J447" s="295"/>
      <c r="K447" s="124"/>
      <c r="L447" s="299"/>
      <c r="M447" s="299"/>
      <c r="N447" s="299"/>
      <c r="O447" s="299"/>
      <c r="P447" s="299"/>
      <c r="Q447" s="299"/>
      <c r="R447" s="299"/>
      <c r="S447" s="299"/>
      <c r="T447" s="299"/>
      <c r="U447" s="124"/>
      <c r="V447" s="298"/>
      <c r="W447"/>
      <c r="X447"/>
      <c r="Y447"/>
      <c r="Z447" s="245"/>
      <c r="AA447" s="295"/>
      <c r="AB447" s="124"/>
      <c r="AC447" s="299"/>
      <c r="AD447" s="299"/>
      <c r="AE447" s="299"/>
      <c r="AF447" s="299"/>
      <c r="AG447" s="299"/>
      <c r="AH447" s="299"/>
      <c r="AI447" s="299"/>
      <c r="AJ447" s="299"/>
      <c r="AK447" s="299"/>
      <c r="AL447"/>
      <c r="AM447" s="124"/>
      <c r="AN447"/>
    </row>
    <row r="448" spans="1:40" s="30" customFormat="1" x14ac:dyDescent="0.25">
      <c r="A448" s="262"/>
      <c r="B448" s="244"/>
      <c r="C448" s="428"/>
      <c r="D448" s="428"/>
      <c r="E448" s="298"/>
      <c r="F448" s="813"/>
      <c r="G448"/>
      <c r="H448"/>
      <c r="I448" s="245"/>
      <c r="J448" s="295"/>
      <c r="K448" s="124"/>
      <c r="L448" s="299"/>
      <c r="M448" s="299"/>
      <c r="N448" s="299"/>
      <c r="O448" s="299"/>
      <c r="P448" s="299"/>
      <c r="Q448" s="299"/>
      <c r="R448" s="299"/>
      <c r="S448" s="299"/>
      <c r="T448" s="299"/>
      <c r="U448" s="124"/>
      <c r="V448" s="298"/>
      <c r="W448"/>
      <c r="X448"/>
      <c r="Y448"/>
      <c r="Z448" s="245"/>
      <c r="AA448" s="295"/>
      <c r="AB448" s="124"/>
      <c r="AC448" s="299"/>
      <c r="AD448" s="299"/>
      <c r="AE448" s="299"/>
      <c r="AF448" s="299"/>
      <c r="AG448" s="299"/>
      <c r="AH448" s="299"/>
      <c r="AI448" s="299"/>
      <c r="AJ448" s="299"/>
      <c r="AK448" s="299"/>
      <c r="AL448"/>
      <c r="AM448" s="124"/>
      <c r="AN448"/>
    </row>
    <row r="449" spans="1:40" s="30" customFormat="1" x14ac:dyDescent="0.25">
      <c r="A449" s="262"/>
      <c r="B449" s="244"/>
      <c r="C449" s="428"/>
      <c r="D449" s="428"/>
      <c r="E449" s="298"/>
      <c r="F449" s="813"/>
      <c r="G449"/>
      <c r="H449"/>
      <c r="I449" s="245"/>
      <c r="J449" s="295"/>
      <c r="K449" s="124"/>
      <c r="L449" s="299"/>
      <c r="M449" s="299"/>
      <c r="N449" s="299"/>
      <c r="O449" s="299"/>
      <c r="P449" s="299"/>
      <c r="Q449" s="299"/>
      <c r="R449" s="299"/>
      <c r="S449" s="299"/>
      <c r="T449" s="299"/>
      <c r="U449" s="124"/>
      <c r="V449" s="298"/>
      <c r="W449"/>
      <c r="X449"/>
      <c r="Y449"/>
      <c r="Z449" s="245"/>
      <c r="AA449" s="295"/>
      <c r="AB449" s="124"/>
      <c r="AC449" s="299"/>
      <c r="AD449" s="299"/>
      <c r="AE449" s="299"/>
      <c r="AF449" s="299"/>
      <c r="AG449" s="299"/>
      <c r="AH449" s="299"/>
      <c r="AI449" s="299"/>
      <c r="AJ449" s="299"/>
      <c r="AK449" s="299"/>
      <c r="AL449"/>
      <c r="AM449" s="124"/>
      <c r="AN449"/>
    </row>
    <row r="450" spans="1:40" s="30" customFormat="1" x14ac:dyDescent="0.25">
      <c r="A450" s="262"/>
      <c r="B450" s="244"/>
      <c r="C450" s="428"/>
      <c r="D450" s="428"/>
      <c r="E450" s="298"/>
      <c r="F450" s="813"/>
      <c r="G450"/>
      <c r="H450"/>
      <c r="I450" s="245"/>
      <c r="J450" s="295"/>
      <c r="K450" s="124"/>
      <c r="L450" s="299"/>
      <c r="M450" s="299"/>
      <c r="N450" s="299"/>
      <c r="O450" s="299"/>
      <c r="P450" s="299"/>
      <c r="Q450" s="299"/>
      <c r="R450" s="299"/>
      <c r="S450" s="299"/>
      <c r="T450" s="299"/>
      <c r="U450" s="124"/>
      <c r="V450" s="298"/>
      <c r="W450"/>
      <c r="X450"/>
      <c r="Y450"/>
      <c r="Z450" s="245"/>
      <c r="AA450" s="295"/>
      <c r="AB450" s="124"/>
      <c r="AC450" s="299"/>
      <c r="AD450" s="299"/>
      <c r="AE450" s="299"/>
      <c r="AF450" s="299"/>
      <c r="AG450" s="299"/>
      <c r="AH450" s="299"/>
      <c r="AI450" s="299"/>
      <c r="AJ450" s="299"/>
      <c r="AK450" s="299"/>
      <c r="AL450"/>
      <c r="AM450" s="124"/>
      <c r="AN450"/>
    </row>
    <row r="451" spans="1:40" s="30" customFormat="1" x14ac:dyDescent="0.25">
      <c r="A451" s="262"/>
      <c r="B451" s="244"/>
      <c r="C451" s="428"/>
      <c r="D451" s="428"/>
      <c r="E451" s="298"/>
      <c r="F451" s="813"/>
      <c r="G451"/>
      <c r="H451"/>
      <c r="I451" s="245"/>
      <c r="J451" s="295"/>
      <c r="K451" s="124"/>
      <c r="L451" s="299"/>
      <c r="M451" s="299"/>
      <c r="N451" s="299"/>
      <c r="O451" s="299"/>
      <c r="P451" s="299"/>
      <c r="Q451" s="299"/>
      <c r="R451" s="299"/>
      <c r="S451" s="299"/>
      <c r="T451" s="299"/>
      <c r="U451" s="124"/>
      <c r="V451" s="298"/>
      <c r="W451"/>
      <c r="X451"/>
      <c r="Y451"/>
      <c r="Z451" s="245"/>
      <c r="AA451" s="295"/>
      <c r="AB451" s="124"/>
      <c r="AC451" s="299"/>
      <c r="AD451" s="299"/>
      <c r="AE451" s="299"/>
      <c r="AF451" s="299"/>
      <c r="AG451" s="299"/>
      <c r="AH451" s="299"/>
      <c r="AI451" s="299"/>
      <c r="AJ451" s="299"/>
      <c r="AK451" s="299"/>
      <c r="AL451"/>
      <c r="AM451" s="124"/>
      <c r="AN451"/>
    </row>
    <row r="452" spans="1:40" s="39" customFormat="1" x14ac:dyDescent="0.25">
      <c r="A452" s="262"/>
      <c r="B452" s="244"/>
      <c r="C452" s="428"/>
      <c r="D452" s="428"/>
      <c r="E452" s="298"/>
      <c r="F452" s="813"/>
      <c r="G452"/>
      <c r="H452"/>
      <c r="I452" s="245"/>
      <c r="J452" s="295"/>
      <c r="K452" s="124"/>
      <c r="L452" s="299"/>
      <c r="M452" s="299"/>
      <c r="N452" s="299"/>
      <c r="O452" s="299"/>
      <c r="P452" s="299"/>
      <c r="Q452" s="299"/>
      <c r="R452" s="299"/>
      <c r="S452" s="299"/>
      <c r="T452" s="299"/>
      <c r="U452" s="124"/>
      <c r="V452" s="298"/>
      <c r="W452"/>
      <c r="X452"/>
      <c r="Y452"/>
      <c r="Z452" s="245"/>
      <c r="AA452" s="295"/>
      <c r="AB452" s="124"/>
      <c r="AC452" s="299"/>
      <c r="AD452" s="299"/>
      <c r="AE452" s="299"/>
      <c r="AF452" s="299"/>
      <c r="AG452" s="299"/>
      <c r="AH452" s="299"/>
      <c r="AI452" s="299"/>
      <c r="AJ452" s="299"/>
      <c r="AK452" s="299"/>
      <c r="AL452"/>
      <c r="AM452" s="124"/>
      <c r="AN452"/>
    </row>
    <row r="453" spans="1:40" s="30" customFormat="1" x14ac:dyDescent="0.25">
      <c r="A453" s="262"/>
      <c r="B453" s="244"/>
      <c r="C453" s="428"/>
      <c r="D453" s="428"/>
      <c r="E453" s="298"/>
      <c r="F453" s="813"/>
      <c r="G453"/>
      <c r="H453"/>
      <c r="I453" s="245"/>
      <c r="J453" s="295"/>
      <c r="K453" s="124"/>
      <c r="L453" s="299"/>
      <c r="M453" s="299"/>
      <c r="N453" s="299"/>
      <c r="O453" s="299"/>
      <c r="P453" s="299"/>
      <c r="Q453" s="299"/>
      <c r="R453" s="299"/>
      <c r="S453" s="299"/>
      <c r="T453" s="299"/>
      <c r="U453" s="124"/>
      <c r="V453" s="298"/>
      <c r="W453"/>
      <c r="X453"/>
      <c r="Y453"/>
      <c r="Z453" s="245"/>
      <c r="AA453" s="295"/>
      <c r="AB453" s="124"/>
      <c r="AC453" s="299"/>
      <c r="AD453" s="299"/>
      <c r="AE453" s="299"/>
      <c r="AF453" s="299"/>
      <c r="AG453" s="299"/>
      <c r="AH453" s="299"/>
      <c r="AI453" s="299"/>
      <c r="AJ453" s="299"/>
      <c r="AK453" s="299"/>
      <c r="AL453"/>
      <c r="AM453" s="124"/>
      <c r="AN453"/>
    </row>
    <row r="454" spans="1:40" s="30" customFormat="1" x14ac:dyDescent="0.25">
      <c r="A454" s="262"/>
      <c r="B454" s="244"/>
      <c r="C454" s="428"/>
      <c r="D454" s="428"/>
      <c r="E454" s="298"/>
      <c r="F454" s="813"/>
      <c r="G454"/>
      <c r="H454"/>
      <c r="I454" s="245"/>
      <c r="J454" s="295"/>
      <c r="K454" s="124"/>
      <c r="L454" s="299"/>
      <c r="M454" s="299"/>
      <c r="N454" s="299"/>
      <c r="O454" s="299"/>
      <c r="P454" s="299"/>
      <c r="Q454" s="299"/>
      <c r="R454" s="299"/>
      <c r="S454" s="299"/>
      <c r="T454" s="299"/>
      <c r="U454" s="124"/>
      <c r="V454" s="298"/>
      <c r="W454"/>
      <c r="X454"/>
      <c r="Y454"/>
      <c r="Z454" s="245"/>
      <c r="AA454" s="295"/>
      <c r="AB454" s="124"/>
      <c r="AC454" s="299"/>
      <c r="AD454" s="299"/>
      <c r="AE454" s="299"/>
      <c r="AF454" s="299"/>
      <c r="AG454" s="299"/>
      <c r="AH454" s="299"/>
      <c r="AI454" s="299"/>
      <c r="AJ454" s="299"/>
      <c r="AK454" s="299"/>
      <c r="AL454"/>
      <c r="AM454" s="124"/>
      <c r="AN454"/>
    </row>
    <row r="455" spans="1:40" s="30" customFormat="1" x14ac:dyDescent="0.25">
      <c r="A455" s="262"/>
      <c r="B455" s="244"/>
      <c r="C455" s="428"/>
      <c r="D455" s="428"/>
      <c r="E455" s="298"/>
      <c r="F455" s="813"/>
      <c r="G455"/>
      <c r="H455"/>
      <c r="I455" s="245"/>
      <c r="J455" s="295"/>
      <c r="K455" s="124"/>
      <c r="L455" s="299"/>
      <c r="M455" s="299"/>
      <c r="N455" s="299"/>
      <c r="O455" s="299"/>
      <c r="P455" s="299"/>
      <c r="Q455" s="299"/>
      <c r="R455" s="299"/>
      <c r="S455" s="299"/>
      <c r="T455" s="299"/>
      <c r="U455" s="124"/>
      <c r="V455" s="298"/>
      <c r="W455"/>
      <c r="X455"/>
      <c r="Y455"/>
      <c r="Z455" s="245"/>
      <c r="AA455" s="295"/>
      <c r="AB455" s="124"/>
      <c r="AC455" s="299"/>
      <c r="AD455" s="299"/>
      <c r="AE455" s="299"/>
      <c r="AF455" s="299"/>
      <c r="AG455" s="299"/>
      <c r="AH455" s="299"/>
      <c r="AI455" s="299"/>
      <c r="AJ455" s="299"/>
      <c r="AK455" s="299"/>
      <c r="AL455"/>
      <c r="AM455" s="124"/>
      <c r="AN455"/>
    </row>
    <row r="456" spans="1:40" s="30" customFormat="1" x14ac:dyDescent="0.25">
      <c r="A456" s="262"/>
      <c r="B456" s="244"/>
      <c r="C456" s="428"/>
      <c r="D456" s="428"/>
      <c r="E456" s="298"/>
      <c r="F456" s="813"/>
      <c r="G456"/>
      <c r="H456"/>
      <c r="I456" s="245"/>
      <c r="J456" s="295"/>
      <c r="K456" s="124"/>
      <c r="L456" s="299"/>
      <c r="M456" s="299"/>
      <c r="N456" s="299"/>
      <c r="O456" s="299"/>
      <c r="P456" s="299"/>
      <c r="Q456" s="299"/>
      <c r="R456" s="299"/>
      <c r="S456" s="299"/>
      <c r="T456" s="299"/>
      <c r="U456" s="124"/>
      <c r="V456" s="298"/>
      <c r="W456"/>
      <c r="X456"/>
      <c r="Y456"/>
      <c r="Z456" s="245"/>
      <c r="AA456" s="295"/>
      <c r="AB456" s="124"/>
      <c r="AC456" s="299"/>
      <c r="AD456" s="299"/>
      <c r="AE456" s="299"/>
      <c r="AF456" s="299"/>
      <c r="AG456" s="299"/>
      <c r="AH456" s="299"/>
      <c r="AI456" s="299"/>
      <c r="AJ456" s="299"/>
      <c r="AK456" s="299"/>
      <c r="AL456"/>
      <c r="AM456" s="124"/>
      <c r="AN456"/>
    </row>
    <row r="457" spans="1:40" s="30" customFormat="1" x14ac:dyDescent="0.25">
      <c r="A457" s="262"/>
      <c r="B457" s="244"/>
      <c r="C457" s="428"/>
      <c r="D457" s="428"/>
      <c r="E457" s="298"/>
      <c r="F457" s="813"/>
      <c r="G457"/>
      <c r="H457"/>
      <c r="I457" s="245"/>
      <c r="J457" s="295"/>
      <c r="K457" s="124"/>
      <c r="L457" s="299"/>
      <c r="M457" s="299"/>
      <c r="N457" s="299"/>
      <c r="O457" s="299"/>
      <c r="P457" s="299"/>
      <c r="Q457" s="299"/>
      <c r="R457" s="299"/>
      <c r="S457" s="299"/>
      <c r="T457" s="299"/>
      <c r="U457" s="124"/>
      <c r="V457" s="298"/>
      <c r="W457"/>
      <c r="X457"/>
      <c r="Y457"/>
      <c r="Z457" s="245"/>
      <c r="AA457" s="295"/>
      <c r="AB457" s="124"/>
      <c r="AC457" s="299"/>
      <c r="AD457" s="299"/>
      <c r="AE457" s="299"/>
      <c r="AF457" s="299"/>
      <c r="AG457" s="299"/>
      <c r="AH457" s="299"/>
      <c r="AI457" s="299"/>
      <c r="AJ457" s="299"/>
      <c r="AK457" s="299"/>
      <c r="AL457"/>
      <c r="AM457" s="124"/>
      <c r="AN457"/>
    </row>
    <row r="458" spans="1:40" s="30" customFormat="1" x14ac:dyDescent="0.25">
      <c r="A458" s="262"/>
      <c r="B458" s="244"/>
      <c r="C458" s="428"/>
      <c r="D458" s="428"/>
      <c r="E458" s="298"/>
      <c r="F458" s="813"/>
      <c r="G458"/>
      <c r="H458"/>
      <c r="I458" s="245"/>
      <c r="J458" s="295"/>
      <c r="K458" s="124"/>
      <c r="L458" s="299"/>
      <c r="M458" s="299"/>
      <c r="N458" s="299"/>
      <c r="O458" s="299"/>
      <c r="P458" s="299"/>
      <c r="Q458" s="299"/>
      <c r="R458" s="299"/>
      <c r="S458" s="299"/>
      <c r="T458" s="299"/>
      <c r="U458" s="124"/>
      <c r="V458" s="298"/>
      <c r="W458"/>
      <c r="X458"/>
      <c r="Y458"/>
      <c r="Z458" s="245"/>
      <c r="AA458" s="295"/>
      <c r="AB458" s="124"/>
      <c r="AC458" s="299"/>
      <c r="AD458" s="299"/>
      <c r="AE458" s="299"/>
      <c r="AF458" s="299"/>
      <c r="AG458" s="299"/>
      <c r="AH458" s="299"/>
      <c r="AI458" s="299"/>
      <c r="AJ458" s="299"/>
      <c r="AK458" s="299"/>
      <c r="AL458"/>
      <c r="AM458" s="124"/>
      <c r="AN458"/>
    </row>
    <row r="459" spans="1:40" s="30" customFormat="1" x14ac:dyDescent="0.25">
      <c r="A459" s="262"/>
      <c r="B459" s="244"/>
      <c r="C459" s="428"/>
      <c r="D459" s="428"/>
      <c r="E459" s="298"/>
      <c r="F459" s="813"/>
      <c r="G459"/>
      <c r="H459"/>
      <c r="I459" s="245"/>
      <c r="J459" s="295"/>
      <c r="K459" s="124"/>
      <c r="L459" s="299"/>
      <c r="M459" s="299"/>
      <c r="N459" s="299"/>
      <c r="O459" s="299"/>
      <c r="P459" s="299"/>
      <c r="Q459" s="299"/>
      <c r="R459" s="299"/>
      <c r="S459" s="299"/>
      <c r="T459" s="299"/>
      <c r="U459" s="124"/>
      <c r="V459" s="298"/>
      <c r="W459"/>
      <c r="X459"/>
      <c r="Y459"/>
      <c r="Z459" s="245"/>
      <c r="AA459" s="295"/>
      <c r="AB459" s="124"/>
      <c r="AC459" s="299"/>
      <c r="AD459" s="299"/>
      <c r="AE459" s="299"/>
      <c r="AF459" s="299"/>
      <c r="AG459" s="299"/>
      <c r="AH459" s="299"/>
      <c r="AI459" s="299"/>
      <c r="AJ459" s="299"/>
      <c r="AK459" s="299"/>
      <c r="AL459"/>
      <c r="AM459" s="124"/>
      <c r="AN459"/>
    </row>
    <row r="460" spans="1:40" s="30" customFormat="1" x14ac:dyDescent="0.25">
      <c r="A460" s="262"/>
      <c r="B460" s="244"/>
      <c r="C460" s="428"/>
      <c r="D460" s="428"/>
      <c r="E460" s="298"/>
      <c r="F460" s="813"/>
      <c r="G460"/>
      <c r="H460"/>
      <c r="I460" s="245"/>
      <c r="J460" s="295"/>
      <c r="K460" s="124"/>
      <c r="L460" s="299"/>
      <c r="M460" s="299"/>
      <c r="N460" s="299"/>
      <c r="O460" s="299"/>
      <c r="P460" s="299"/>
      <c r="Q460" s="299"/>
      <c r="R460" s="299"/>
      <c r="S460" s="299"/>
      <c r="T460" s="299"/>
      <c r="U460" s="124"/>
      <c r="V460" s="298"/>
      <c r="W460"/>
      <c r="X460"/>
      <c r="Y460"/>
      <c r="Z460" s="245"/>
      <c r="AA460" s="295"/>
      <c r="AB460" s="124"/>
      <c r="AC460" s="299"/>
      <c r="AD460" s="299"/>
      <c r="AE460" s="299"/>
      <c r="AF460" s="299"/>
      <c r="AG460" s="299"/>
      <c r="AH460" s="299"/>
      <c r="AI460" s="299"/>
      <c r="AJ460" s="299"/>
      <c r="AK460" s="299"/>
      <c r="AL460"/>
      <c r="AM460" s="124"/>
      <c r="AN460"/>
    </row>
    <row r="461" spans="1:40" s="30" customFormat="1" x14ac:dyDescent="0.25">
      <c r="A461" s="262"/>
      <c r="B461" s="244"/>
      <c r="C461" s="428"/>
      <c r="D461" s="428"/>
      <c r="E461" s="298"/>
      <c r="F461" s="813"/>
      <c r="G461"/>
      <c r="H461"/>
      <c r="I461" s="245"/>
      <c r="J461" s="295"/>
      <c r="K461" s="124"/>
      <c r="L461" s="299"/>
      <c r="M461" s="299"/>
      <c r="N461" s="299"/>
      <c r="O461" s="299"/>
      <c r="P461" s="299"/>
      <c r="Q461" s="299"/>
      <c r="R461" s="299"/>
      <c r="S461" s="299"/>
      <c r="T461" s="299"/>
      <c r="U461" s="124"/>
      <c r="V461" s="298"/>
      <c r="W461"/>
      <c r="X461"/>
      <c r="Y461"/>
      <c r="Z461" s="245"/>
      <c r="AA461" s="295"/>
      <c r="AB461" s="124"/>
      <c r="AC461" s="299"/>
      <c r="AD461" s="299"/>
      <c r="AE461" s="299"/>
      <c r="AF461" s="299"/>
      <c r="AG461" s="299"/>
      <c r="AH461" s="299"/>
      <c r="AI461" s="299"/>
      <c r="AJ461" s="299"/>
      <c r="AK461" s="299"/>
      <c r="AL461"/>
      <c r="AM461" s="124"/>
      <c r="AN461"/>
    </row>
    <row r="462" spans="1:40" s="30" customFormat="1" x14ac:dyDescent="0.25">
      <c r="A462" s="262"/>
      <c r="B462" s="244"/>
      <c r="C462" s="428"/>
      <c r="D462" s="428"/>
      <c r="E462" s="298"/>
      <c r="F462" s="813"/>
      <c r="G462"/>
      <c r="H462"/>
      <c r="I462" s="245"/>
      <c r="J462" s="295"/>
      <c r="K462" s="124"/>
      <c r="L462" s="299"/>
      <c r="M462" s="299"/>
      <c r="N462" s="299"/>
      <c r="O462" s="299"/>
      <c r="P462" s="299"/>
      <c r="Q462" s="299"/>
      <c r="R462" s="299"/>
      <c r="S462" s="299"/>
      <c r="T462" s="299"/>
      <c r="U462" s="124"/>
      <c r="V462" s="298"/>
      <c r="W462"/>
      <c r="X462"/>
      <c r="Y462"/>
      <c r="Z462" s="245"/>
      <c r="AA462" s="295"/>
      <c r="AB462" s="124"/>
      <c r="AC462" s="299"/>
      <c r="AD462" s="299"/>
      <c r="AE462" s="299"/>
      <c r="AF462" s="299"/>
      <c r="AG462" s="299"/>
      <c r="AH462" s="299"/>
      <c r="AI462" s="299"/>
      <c r="AJ462" s="299"/>
      <c r="AK462" s="299"/>
      <c r="AL462"/>
      <c r="AM462" s="124"/>
      <c r="AN462"/>
    </row>
    <row r="463" spans="1:40" s="30" customFormat="1" x14ac:dyDescent="0.25">
      <c r="A463" s="262"/>
      <c r="B463" s="244"/>
      <c r="C463" s="428"/>
      <c r="D463" s="428"/>
      <c r="E463" s="298"/>
      <c r="F463" s="813"/>
      <c r="G463"/>
      <c r="H463"/>
      <c r="I463" s="245"/>
      <c r="J463" s="295"/>
      <c r="K463" s="124"/>
      <c r="L463" s="299"/>
      <c r="M463" s="299"/>
      <c r="N463" s="299"/>
      <c r="O463" s="299"/>
      <c r="P463" s="299"/>
      <c r="Q463" s="299"/>
      <c r="R463" s="299"/>
      <c r="S463" s="299"/>
      <c r="T463" s="299"/>
      <c r="U463" s="124"/>
      <c r="V463" s="298"/>
      <c r="W463"/>
      <c r="X463"/>
      <c r="Y463"/>
      <c r="Z463" s="245"/>
      <c r="AA463" s="295"/>
      <c r="AB463" s="124"/>
      <c r="AC463" s="299"/>
      <c r="AD463" s="299"/>
      <c r="AE463" s="299"/>
      <c r="AF463" s="299"/>
      <c r="AG463" s="299"/>
      <c r="AH463" s="299"/>
      <c r="AI463" s="299"/>
      <c r="AJ463" s="299"/>
      <c r="AK463" s="299"/>
      <c r="AL463"/>
      <c r="AM463" s="124"/>
      <c r="AN463"/>
    </row>
    <row r="464" spans="1:40" s="30" customFormat="1" x14ac:dyDescent="0.25">
      <c r="A464" s="262"/>
      <c r="B464" s="244"/>
      <c r="C464" s="428"/>
      <c r="D464" s="428"/>
      <c r="E464" s="298"/>
      <c r="F464" s="813"/>
      <c r="G464"/>
      <c r="H464"/>
      <c r="I464" s="245"/>
      <c r="J464" s="295"/>
      <c r="K464" s="124"/>
      <c r="L464" s="299"/>
      <c r="M464" s="299"/>
      <c r="N464" s="299"/>
      <c r="O464" s="299"/>
      <c r="P464" s="299"/>
      <c r="Q464" s="299"/>
      <c r="R464" s="299"/>
      <c r="S464" s="299"/>
      <c r="T464" s="299"/>
      <c r="U464" s="124"/>
      <c r="V464" s="298"/>
      <c r="W464"/>
      <c r="X464"/>
      <c r="Y464"/>
      <c r="Z464" s="245"/>
      <c r="AA464" s="295"/>
      <c r="AB464" s="124"/>
      <c r="AC464" s="299"/>
      <c r="AD464" s="299"/>
      <c r="AE464" s="299"/>
      <c r="AF464" s="299"/>
      <c r="AG464" s="299"/>
      <c r="AH464" s="299"/>
      <c r="AI464" s="299"/>
      <c r="AJ464" s="299"/>
      <c r="AK464" s="299"/>
      <c r="AL464"/>
      <c r="AM464" s="124"/>
      <c r="AN464"/>
    </row>
    <row r="465" spans="1:40" s="30" customFormat="1" x14ac:dyDescent="0.25">
      <c r="A465" s="262"/>
      <c r="B465" s="244"/>
      <c r="C465" s="428"/>
      <c r="D465" s="428"/>
      <c r="E465" s="298"/>
      <c r="F465" s="813"/>
      <c r="G465"/>
      <c r="H465"/>
      <c r="I465" s="245"/>
      <c r="J465" s="295"/>
      <c r="K465" s="124"/>
      <c r="L465" s="299"/>
      <c r="M465" s="299"/>
      <c r="N465" s="299"/>
      <c r="O465" s="299"/>
      <c r="P465" s="299"/>
      <c r="Q465" s="299"/>
      <c r="R465" s="299"/>
      <c r="S465" s="299"/>
      <c r="T465" s="299"/>
      <c r="U465" s="124"/>
      <c r="V465" s="298"/>
      <c r="W465"/>
      <c r="X465"/>
      <c r="Y465"/>
      <c r="Z465" s="245"/>
      <c r="AA465" s="295"/>
      <c r="AB465" s="124"/>
      <c r="AC465" s="299"/>
      <c r="AD465" s="299"/>
      <c r="AE465" s="299"/>
      <c r="AF465" s="299"/>
      <c r="AG465" s="299"/>
      <c r="AH465" s="299"/>
      <c r="AI465" s="299"/>
      <c r="AJ465" s="299"/>
      <c r="AK465" s="299"/>
      <c r="AL465"/>
      <c r="AM465" s="124"/>
      <c r="AN465"/>
    </row>
    <row r="466" spans="1:40" s="30" customFormat="1" x14ac:dyDescent="0.25">
      <c r="A466" s="262"/>
      <c r="B466" s="244"/>
      <c r="C466" s="428"/>
      <c r="D466" s="428"/>
      <c r="E466" s="298"/>
      <c r="F466" s="813"/>
      <c r="G466"/>
      <c r="H466"/>
      <c r="I466" s="245"/>
      <c r="J466" s="295"/>
      <c r="K466" s="124"/>
      <c r="L466" s="299"/>
      <c r="M466" s="299"/>
      <c r="N466" s="299"/>
      <c r="O466" s="299"/>
      <c r="P466" s="299"/>
      <c r="Q466" s="299"/>
      <c r="R466" s="299"/>
      <c r="S466" s="299"/>
      <c r="T466" s="299"/>
      <c r="U466" s="124"/>
      <c r="V466" s="298"/>
      <c r="W466"/>
      <c r="X466"/>
      <c r="Y466"/>
      <c r="Z466" s="245"/>
      <c r="AA466" s="295"/>
      <c r="AB466" s="124"/>
      <c r="AC466" s="299"/>
      <c r="AD466" s="299"/>
      <c r="AE466" s="299"/>
      <c r="AF466" s="299"/>
      <c r="AG466" s="299"/>
      <c r="AH466" s="299"/>
      <c r="AI466" s="299"/>
      <c r="AJ466" s="299"/>
      <c r="AK466" s="299"/>
      <c r="AL466"/>
      <c r="AM466" s="124"/>
      <c r="AN466"/>
    </row>
    <row r="467" spans="1:40" s="30" customFormat="1" x14ac:dyDescent="0.25">
      <c r="A467" s="262"/>
      <c r="B467" s="244"/>
      <c r="C467" s="428"/>
      <c r="D467" s="428"/>
      <c r="E467" s="298"/>
      <c r="F467" s="813"/>
      <c r="G467"/>
      <c r="H467"/>
      <c r="I467" s="245"/>
      <c r="J467" s="295"/>
      <c r="K467" s="124"/>
      <c r="L467" s="299"/>
      <c r="M467" s="299"/>
      <c r="N467" s="299"/>
      <c r="O467" s="299"/>
      <c r="P467" s="299"/>
      <c r="Q467" s="299"/>
      <c r="R467" s="299"/>
      <c r="S467" s="299"/>
      <c r="T467" s="299"/>
      <c r="U467" s="124"/>
      <c r="V467" s="298"/>
      <c r="W467"/>
      <c r="X467"/>
      <c r="Y467"/>
      <c r="Z467" s="245"/>
      <c r="AA467" s="295"/>
      <c r="AB467" s="124"/>
      <c r="AC467" s="299"/>
      <c r="AD467" s="299"/>
      <c r="AE467" s="299"/>
      <c r="AF467" s="299"/>
      <c r="AG467" s="299"/>
      <c r="AH467" s="299"/>
      <c r="AI467" s="299"/>
      <c r="AJ467" s="299"/>
      <c r="AK467" s="299"/>
      <c r="AL467"/>
      <c r="AM467" s="124"/>
      <c r="AN467"/>
    </row>
    <row r="468" spans="1:40" s="30" customFormat="1" x14ac:dyDescent="0.25">
      <c r="A468" s="262"/>
      <c r="B468" s="244"/>
      <c r="C468" s="428"/>
      <c r="D468" s="428"/>
      <c r="E468" s="298"/>
      <c r="F468" s="813"/>
      <c r="G468"/>
      <c r="H468"/>
      <c r="I468" s="245"/>
      <c r="J468" s="295"/>
      <c r="K468" s="124"/>
      <c r="L468" s="299"/>
      <c r="M468" s="299"/>
      <c r="N468" s="299"/>
      <c r="O468" s="299"/>
      <c r="P468" s="299"/>
      <c r="Q468" s="299"/>
      <c r="R468" s="299"/>
      <c r="S468" s="299"/>
      <c r="T468" s="299"/>
      <c r="U468" s="124"/>
      <c r="V468" s="298"/>
      <c r="W468"/>
      <c r="X468"/>
      <c r="Y468"/>
      <c r="Z468" s="245"/>
      <c r="AA468" s="295"/>
      <c r="AB468" s="124"/>
      <c r="AC468" s="299"/>
      <c r="AD468" s="299"/>
      <c r="AE468" s="299"/>
      <c r="AF468" s="299"/>
      <c r="AG468" s="299"/>
      <c r="AH468" s="299"/>
      <c r="AI468" s="299"/>
      <c r="AJ468" s="299"/>
      <c r="AK468" s="299"/>
      <c r="AL468"/>
      <c r="AM468" s="124"/>
      <c r="AN468"/>
    </row>
    <row r="469" spans="1:40" s="30" customFormat="1" x14ac:dyDescent="0.25">
      <c r="A469" s="262"/>
      <c r="B469" s="244"/>
      <c r="C469" s="428"/>
      <c r="D469" s="428"/>
      <c r="E469" s="298"/>
      <c r="F469" s="813"/>
      <c r="G469"/>
      <c r="H469"/>
      <c r="I469" s="245"/>
      <c r="J469" s="295"/>
      <c r="K469" s="124"/>
      <c r="L469" s="299"/>
      <c r="M469" s="299"/>
      <c r="N469" s="299"/>
      <c r="O469" s="299"/>
      <c r="P469" s="299"/>
      <c r="Q469" s="299"/>
      <c r="R469" s="299"/>
      <c r="S469" s="299"/>
      <c r="T469" s="299"/>
      <c r="U469" s="124"/>
      <c r="V469" s="298"/>
      <c r="W469"/>
      <c r="X469"/>
      <c r="Y469"/>
      <c r="Z469" s="245"/>
      <c r="AA469" s="295"/>
      <c r="AB469" s="124"/>
      <c r="AC469" s="299"/>
      <c r="AD469" s="299"/>
      <c r="AE469" s="299"/>
      <c r="AF469" s="299"/>
      <c r="AG469" s="299"/>
      <c r="AH469" s="299"/>
      <c r="AI469" s="299"/>
      <c r="AJ469" s="299"/>
      <c r="AK469" s="299"/>
      <c r="AL469"/>
      <c r="AM469" s="124"/>
      <c r="AN469"/>
    </row>
    <row r="470" spans="1:40" s="30" customFormat="1" x14ac:dyDescent="0.25">
      <c r="A470" s="262"/>
      <c r="B470" s="244"/>
      <c r="C470" s="428"/>
      <c r="D470" s="428"/>
      <c r="E470" s="298"/>
      <c r="F470" s="813"/>
      <c r="G470"/>
      <c r="H470"/>
      <c r="I470" s="245"/>
      <c r="J470" s="295"/>
      <c r="K470" s="124"/>
      <c r="L470" s="299"/>
      <c r="M470" s="299"/>
      <c r="N470" s="299"/>
      <c r="O470" s="299"/>
      <c r="P470" s="299"/>
      <c r="Q470" s="299"/>
      <c r="R470" s="299"/>
      <c r="S470" s="299"/>
      <c r="T470" s="299"/>
      <c r="U470" s="124"/>
      <c r="V470" s="298"/>
      <c r="W470"/>
      <c r="X470"/>
      <c r="Y470"/>
      <c r="Z470" s="245"/>
      <c r="AA470" s="295"/>
      <c r="AB470" s="124"/>
      <c r="AC470" s="299"/>
      <c r="AD470" s="299"/>
      <c r="AE470" s="299"/>
      <c r="AF470" s="299"/>
      <c r="AG470" s="299"/>
      <c r="AH470" s="299"/>
      <c r="AI470" s="299"/>
      <c r="AJ470" s="299"/>
      <c r="AK470" s="299"/>
      <c r="AL470"/>
      <c r="AM470" s="124"/>
      <c r="AN470"/>
    </row>
    <row r="471" spans="1:40" s="30" customFormat="1" x14ac:dyDescent="0.25">
      <c r="A471" s="262"/>
      <c r="B471" s="244"/>
      <c r="C471" s="428"/>
      <c r="D471" s="428"/>
      <c r="E471" s="298"/>
      <c r="F471" s="813"/>
      <c r="G471"/>
      <c r="H471"/>
      <c r="I471" s="245"/>
      <c r="J471" s="295"/>
      <c r="K471" s="124"/>
      <c r="L471" s="299"/>
      <c r="M471" s="299"/>
      <c r="N471" s="299"/>
      <c r="O471" s="299"/>
      <c r="P471" s="299"/>
      <c r="Q471" s="299"/>
      <c r="R471" s="299"/>
      <c r="S471" s="299"/>
      <c r="T471" s="299"/>
      <c r="U471" s="124"/>
      <c r="V471" s="298"/>
      <c r="W471"/>
      <c r="X471"/>
      <c r="Y471"/>
      <c r="Z471" s="245"/>
      <c r="AA471" s="295"/>
      <c r="AB471" s="124"/>
      <c r="AC471" s="299"/>
      <c r="AD471" s="299"/>
      <c r="AE471" s="299"/>
      <c r="AF471" s="299"/>
      <c r="AG471" s="299"/>
      <c r="AH471" s="299"/>
      <c r="AI471" s="299"/>
      <c r="AJ471" s="299"/>
      <c r="AK471" s="299"/>
      <c r="AL471"/>
      <c r="AM471" s="124"/>
      <c r="AN471"/>
    </row>
    <row r="472" spans="1:40" s="30" customFormat="1" x14ac:dyDescent="0.25">
      <c r="A472" s="262"/>
      <c r="B472" s="244"/>
      <c r="C472" s="428"/>
      <c r="D472" s="428"/>
      <c r="E472" s="298"/>
      <c r="F472" s="813"/>
      <c r="G472"/>
      <c r="H472"/>
      <c r="I472" s="245"/>
      <c r="J472" s="295"/>
      <c r="K472" s="124"/>
      <c r="L472" s="299"/>
      <c r="M472" s="299"/>
      <c r="N472" s="299"/>
      <c r="O472" s="299"/>
      <c r="P472" s="299"/>
      <c r="Q472" s="299"/>
      <c r="R472" s="299"/>
      <c r="S472" s="299"/>
      <c r="T472" s="299"/>
      <c r="U472" s="124"/>
      <c r="V472" s="298"/>
      <c r="W472"/>
      <c r="X472"/>
      <c r="Y472"/>
      <c r="Z472" s="245"/>
      <c r="AA472" s="295"/>
      <c r="AB472" s="124"/>
      <c r="AC472" s="299"/>
      <c r="AD472" s="299"/>
      <c r="AE472" s="299"/>
      <c r="AF472" s="299"/>
      <c r="AG472" s="299"/>
      <c r="AH472" s="299"/>
      <c r="AI472" s="299"/>
      <c r="AJ472" s="299"/>
      <c r="AK472" s="299"/>
      <c r="AL472"/>
      <c r="AM472" s="124"/>
      <c r="AN472"/>
    </row>
    <row r="473" spans="1:40" s="30" customFormat="1" x14ac:dyDescent="0.25">
      <c r="A473" s="262"/>
      <c r="B473" s="244"/>
      <c r="C473" s="428"/>
      <c r="D473" s="428"/>
      <c r="E473" s="298"/>
      <c r="F473" s="813"/>
      <c r="G473"/>
      <c r="H473"/>
      <c r="I473" s="245"/>
      <c r="J473" s="295"/>
      <c r="K473" s="124"/>
      <c r="L473" s="299"/>
      <c r="M473" s="299"/>
      <c r="N473" s="299"/>
      <c r="O473" s="299"/>
      <c r="P473" s="299"/>
      <c r="Q473" s="299"/>
      <c r="R473" s="299"/>
      <c r="S473" s="299"/>
      <c r="T473" s="299"/>
      <c r="U473" s="124"/>
      <c r="V473" s="298"/>
      <c r="W473"/>
      <c r="X473"/>
      <c r="Y473"/>
      <c r="Z473" s="245"/>
      <c r="AA473" s="295"/>
      <c r="AB473" s="124"/>
      <c r="AC473" s="299"/>
      <c r="AD473" s="299"/>
      <c r="AE473" s="299"/>
      <c r="AF473" s="299"/>
      <c r="AG473" s="299"/>
      <c r="AH473" s="299"/>
      <c r="AI473" s="299"/>
      <c r="AJ473" s="299"/>
      <c r="AK473" s="299"/>
      <c r="AL473"/>
      <c r="AM473" s="124"/>
      <c r="AN473"/>
    </row>
    <row r="474" spans="1:40" s="30" customFormat="1" x14ac:dyDescent="0.25">
      <c r="A474" s="262"/>
      <c r="B474" s="244"/>
      <c r="C474" s="428"/>
      <c r="D474" s="428"/>
      <c r="E474" s="298"/>
      <c r="F474" s="813"/>
      <c r="G474"/>
      <c r="H474"/>
      <c r="I474" s="245"/>
      <c r="J474" s="295"/>
      <c r="K474" s="124"/>
      <c r="L474" s="299"/>
      <c r="M474" s="299"/>
      <c r="N474" s="299"/>
      <c r="O474" s="299"/>
      <c r="P474" s="299"/>
      <c r="Q474" s="299"/>
      <c r="R474" s="299"/>
      <c r="S474" s="299"/>
      <c r="T474" s="299"/>
      <c r="U474" s="124"/>
      <c r="V474" s="298"/>
      <c r="W474"/>
      <c r="X474"/>
      <c r="Y474"/>
      <c r="Z474" s="245"/>
      <c r="AA474" s="295"/>
      <c r="AB474" s="124"/>
      <c r="AC474" s="299"/>
      <c r="AD474" s="299"/>
      <c r="AE474" s="299"/>
      <c r="AF474" s="299"/>
      <c r="AG474" s="299"/>
      <c r="AH474" s="299"/>
      <c r="AI474" s="299"/>
      <c r="AJ474" s="299"/>
      <c r="AK474" s="299"/>
      <c r="AL474"/>
      <c r="AM474" s="124"/>
      <c r="AN474"/>
    </row>
    <row r="475" spans="1:40" s="123" customFormat="1" x14ac:dyDescent="0.25">
      <c r="A475" s="262"/>
      <c r="B475" s="244"/>
      <c r="C475" s="428"/>
      <c r="D475" s="428"/>
      <c r="E475" s="298"/>
      <c r="F475" s="813"/>
      <c r="G475"/>
      <c r="H475"/>
      <c r="I475" s="245"/>
      <c r="J475" s="295"/>
      <c r="K475" s="124"/>
      <c r="L475" s="299"/>
      <c r="M475" s="299"/>
      <c r="N475" s="299"/>
      <c r="O475" s="299"/>
      <c r="P475" s="299"/>
      <c r="Q475" s="299"/>
      <c r="R475" s="299"/>
      <c r="S475" s="299"/>
      <c r="T475" s="299"/>
      <c r="U475" s="124"/>
      <c r="V475" s="298"/>
      <c r="W475"/>
      <c r="X475"/>
      <c r="Y475"/>
      <c r="Z475" s="245"/>
      <c r="AA475" s="295"/>
      <c r="AB475" s="124"/>
      <c r="AC475" s="299"/>
      <c r="AD475" s="299"/>
      <c r="AE475" s="299"/>
      <c r="AF475" s="299"/>
      <c r="AG475" s="299"/>
      <c r="AH475" s="299"/>
      <c r="AI475" s="299"/>
      <c r="AJ475" s="299"/>
      <c r="AK475" s="299"/>
      <c r="AL475"/>
      <c r="AM475" s="124"/>
      <c r="AN475"/>
    </row>
    <row r="476" spans="1:40" s="123" customFormat="1" x14ac:dyDescent="0.25">
      <c r="A476" s="262"/>
      <c r="B476" s="244"/>
      <c r="C476" s="428"/>
      <c r="D476" s="428"/>
      <c r="E476" s="298"/>
      <c r="F476" s="813"/>
      <c r="G476"/>
      <c r="H476"/>
      <c r="I476" s="245"/>
      <c r="J476" s="295"/>
      <c r="K476" s="124"/>
      <c r="L476" s="299"/>
      <c r="M476" s="299"/>
      <c r="N476" s="299"/>
      <c r="O476" s="299"/>
      <c r="P476" s="299"/>
      <c r="Q476" s="299"/>
      <c r="R476" s="299"/>
      <c r="S476" s="299"/>
      <c r="T476" s="299"/>
      <c r="U476" s="124"/>
      <c r="V476" s="298"/>
      <c r="W476"/>
      <c r="X476"/>
      <c r="Y476"/>
      <c r="Z476" s="245"/>
      <c r="AA476" s="295"/>
      <c r="AB476" s="124"/>
      <c r="AC476" s="299"/>
      <c r="AD476" s="299"/>
      <c r="AE476" s="299"/>
      <c r="AF476" s="299"/>
      <c r="AG476" s="299"/>
      <c r="AH476" s="299"/>
      <c r="AI476" s="299"/>
      <c r="AJ476" s="299"/>
      <c r="AK476" s="299"/>
      <c r="AL476"/>
      <c r="AM476" s="124"/>
      <c r="AN476"/>
    </row>
    <row r="477" spans="1:40" s="430" customFormat="1" ht="15.75" customHeight="1" x14ac:dyDescent="0.25">
      <c r="A477" s="262"/>
      <c r="B477" s="244"/>
      <c r="C477" s="428"/>
      <c r="D477" s="428"/>
      <c r="E477" s="298"/>
      <c r="F477" s="813"/>
      <c r="G477"/>
      <c r="H477"/>
      <c r="I477" s="245"/>
      <c r="J477" s="295"/>
      <c r="K477" s="124"/>
      <c r="L477" s="299"/>
      <c r="M477" s="299"/>
      <c r="N477" s="299"/>
      <c r="O477" s="299"/>
      <c r="P477" s="299"/>
      <c r="Q477" s="299"/>
      <c r="R477" s="299"/>
      <c r="S477" s="299"/>
      <c r="T477" s="299"/>
      <c r="U477" s="124"/>
      <c r="V477" s="298"/>
      <c r="W477"/>
      <c r="X477"/>
      <c r="Y477"/>
      <c r="Z477" s="245"/>
      <c r="AA477" s="295"/>
      <c r="AB477" s="124"/>
      <c r="AC477" s="299"/>
      <c r="AD477" s="299"/>
      <c r="AE477" s="299"/>
      <c r="AF477" s="299"/>
      <c r="AG477" s="299"/>
      <c r="AH477" s="299"/>
      <c r="AI477" s="299"/>
      <c r="AJ477" s="299"/>
      <c r="AK477" s="299"/>
      <c r="AL477"/>
      <c r="AM477" s="124"/>
      <c r="AN477"/>
    </row>
    <row r="478" spans="1:40" s="30" customFormat="1" x14ac:dyDescent="0.25">
      <c r="A478" s="262"/>
      <c r="B478" s="244"/>
      <c r="C478" s="428"/>
      <c r="D478" s="428"/>
      <c r="E478" s="298"/>
      <c r="F478" s="813"/>
      <c r="G478"/>
      <c r="H478"/>
      <c r="I478" s="245"/>
      <c r="J478" s="295"/>
      <c r="K478" s="124"/>
      <c r="L478" s="299"/>
      <c r="M478" s="299"/>
      <c r="N478" s="299"/>
      <c r="O478" s="299"/>
      <c r="P478" s="299"/>
      <c r="Q478" s="299"/>
      <c r="R478" s="299"/>
      <c r="S478" s="299"/>
      <c r="T478" s="299"/>
      <c r="U478" s="124"/>
      <c r="V478" s="298"/>
      <c r="W478"/>
      <c r="X478"/>
      <c r="Y478"/>
      <c r="Z478" s="245"/>
      <c r="AA478" s="295"/>
      <c r="AB478" s="124"/>
      <c r="AC478" s="299"/>
      <c r="AD478" s="299"/>
      <c r="AE478" s="299"/>
      <c r="AF478" s="299"/>
      <c r="AG478" s="299"/>
      <c r="AH478" s="299"/>
      <c r="AI478" s="299"/>
      <c r="AJ478" s="299"/>
      <c r="AK478" s="299"/>
      <c r="AL478"/>
      <c r="AM478" s="124"/>
      <c r="AN478"/>
    </row>
    <row r="479" spans="1:40" s="30" customFormat="1" x14ac:dyDescent="0.25">
      <c r="A479" s="262"/>
      <c r="B479" s="244"/>
      <c r="C479" s="428"/>
      <c r="D479" s="428"/>
      <c r="E479" s="298"/>
      <c r="F479" s="813"/>
      <c r="G479"/>
      <c r="H479"/>
      <c r="I479" s="245"/>
      <c r="J479" s="295"/>
      <c r="K479" s="124"/>
      <c r="L479" s="299"/>
      <c r="M479" s="299"/>
      <c r="N479" s="299"/>
      <c r="O479" s="299"/>
      <c r="P479" s="299"/>
      <c r="Q479" s="299"/>
      <c r="R479" s="299"/>
      <c r="S479" s="299"/>
      <c r="T479" s="299"/>
      <c r="U479" s="124"/>
      <c r="V479" s="298"/>
      <c r="W479"/>
      <c r="X479"/>
      <c r="Y479"/>
      <c r="Z479" s="245"/>
      <c r="AA479" s="295"/>
      <c r="AB479" s="124"/>
      <c r="AC479" s="299"/>
      <c r="AD479" s="299"/>
      <c r="AE479" s="299"/>
      <c r="AF479" s="299"/>
      <c r="AG479" s="299"/>
      <c r="AH479" s="299"/>
      <c r="AI479" s="299"/>
      <c r="AJ479" s="299"/>
      <c r="AK479" s="299"/>
      <c r="AL479"/>
      <c r="AM479" s="124"/>
      <c r="AN479"/>
    </row>
    <row r="492" spans="1:40" s="6" customFormat="1" x14ac:dyDescent="0.25">
      <c r="A492" s="262"/>
      <c r="B492" s="244"/>
      <c r="C492" s="428"/>
      <c r="D492" s="428"/>
      <c r="E492" s="298"/>
      <c r="F492" s="813"/>
      <c r="G492"/>
      <c r="H492"/>
      <c r="I492" s="245"/>
      <c r="J492" s="295"/>
      <c r="K492" s="124"/>
      <c r="L492" s="299"/>
      <c r="M492" s="299"/>
      <c r="N492" s="299"/>
      <c r="O492" s="299"/>
      <c r="P492" s="299"/>
      <c r="Q492" s="299"/>
      <c r="R492" s="299"/>
      <c r="S492" s="299"/>
      <c r="T492" s="299"/>
      <c r="U492" s="124"/>
      <c r="V492" s="298"/>
      <c r="W492"/>
      <c r="X492"/>
      <c r="Y492"/>
      <c r="Z492" s="245"/>
      <c r="AA492" s="295"/>
      <c r="AB492" s="124"/>
      <c r="AC492" s="299"/>
      <c r="AD492" s="299"/>
      <c r="AE492" s="299"/>
      <c r="AF492" s="299"/>
      <c r="AG492" s="299"/>
      <c r="AH492" s="299"/>
      <c r="AI492" s="299"/>
      <c r="AJ492" s="299"/>
      <c r="AK492" s="299"/>
      <c r="AL492"/>
      <c r="AM492" s="124"/>
      <c r="AN492"/>
    </row>
    <row r="493" spans="1:40" s="6" customFormat="1" x14ac:dyDescent="0.25">
      <c r="A493" s="262"/>
      <c r="B493" s="244"/>
      <c r="C493" s="428"/>
      <c r="D493" s="428"/>
      <c r="E493" s="298"/>
      <c r="F493" s="813"/>
      <c r="G493"/>
      <c r="H493"/>
      <c r="I493" s="245"/>
      <c r="J493" s="295"/>
      <c r="K493" s="124"/>
      <c r="L493" s="299"/>
      <c r="M493" s="299"/>
      <c r="N493" s="299"/>
      <c r="O493" s="299"/>
      <c r="P493" s="299"/>
      <c r="Q493" s="299"/>
      <c r="R493" s="299"/>
      <c r="S493" s="299"/>
      <c r="T493" s="299"/>
      <c r="U493" s="124"/>
      <c r="V493" s="298"/>
      <c r="W493"/>
      <c r="X493"/>
      <c r="Y493"/>
      <c r="Z493" s="245"/>
      <c r="AA493" s="295"/>
      <c r="AB493" s="124"/>
      <c r="AC493" s="299"/>
      <c r="AD493" s="299"/>
      <c r="AE493" s="299"/>
      <c r="AF493" s="299"/>
      <c r="AG493" s="299"/>
      <c r="AH493" s="299"/>
      <c r="AI493" s="299"/>
      <c r="AJ493" s="299"/>
      <c r="AK493" s="299"/>
      <c r="AL493"/>
      <c r="AM493" s="124"/>
      <c r="AN493"/>
    </row>
    <row r="510" spans="1:40" s="6" customFormat="1" x14ac:dyDescent="0.25">
      <c r="A510" s="262"/>
      <c r="B510" s="244"/>
      <c r="C510" s="428"/>
      <c r="D510" s="428"/>
      <c r="E510" s="298"/>
      <c r="F510" s="813"/>
      <c r="G510"/>
      <c r="H510"/>
      <c r="I510" s="245"/>
      <c r="J510" s="295"/>
      <c r="K510" s="124"/>
      <c r="L510" s="299"/>
      <c r="M510" s="299"/>
      <c r="N510" s="299"/>
      <c r="O510" s="299"/>
      <c r="P510" s="299"/>
      <c r="Q510" s="299"/>
      <c r="R510" s="299"/>
      <c r="S510" s="299"/>
      <c r="T510" s="299"/>
      <c r="U510" s="124"/>
      <c r="V510" s="298"/>
      <c r="W510"/>
      <c r="X510"/>
      <c r="Y510"/>
      <c r="Z510" s="245"/>
      <c r="AA510" s="295"/>
      <c r="AB510" s="124"/>
      <c r="AC510" s="299"/>
      <c r="AD510" s="299"/>
      <c r="AE510" s="299"/>
      <c r="AF510" s="299"/>
      <c r="AG510" s="299"/>
      <c r="AH510" s="299"/>
      <c r="AI510" s="299"/>
      <c r="AJ510" s="299"/>
      <c r="AK510" s="299"/>
      <c r="AL510"/>
      <c r="AM510" s="124"/>
      <c r="AN510"/>
    </row>
  </sheetData>
  <mergeCells count="41">
    <mergeCell ref="T4:T5"/>
    <mergeCell ref="E2:K3"/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  <mergeCell ref="J4:J5"/>
    <mergeCell ref="L4:L5"/>
    <mergeCell ref="O4:O5"/>
    <mergeCell ref="N4:N5"/>
    <mergeCell ref="R4:R5"/>
    <mergeCell ref="K4:K5"/>
    <mergeCell ref="M4:M5"/>
    <mergeCell ref="P4:P5"/>
    <mergeCell ref="Q4:Q5"/>
    <mergeCell ref="L2:T3"/>
    <mergeCell ref="S4:S5"/>
    <mergeCell ref="AN355:AQ356"/>
    <mergeCell ref="AC2:AK3"/>
    <mergeCell ref="AI4:AI5"/>
    <mergeCell ref="AJ4:AJ5"/>
    <mergeCell ref="AD4:AD5"/>
    <mergeCell ref="AN4:AN5"/>
    <mergeCell ref="AF4:AF5"/>
    <mergeCell ref="AE4:AE5"/>
    <mergeCell ref="AC4:AC5"/>
    <mergeCell ref="X4:X5"/>
    <mergeCell ref="AH4:AH5"/>
    <mergeCell ref="AK4:AK5"/>
    <mergeCell ref="Y4:Y5"/>
    <mergeCell ref="Z4:Z5"/>
  </mergeCells>
  <pageMargins left="0.7" right="0.7" top="0.75" bottom="0.75" header="0.3" footer="0.3"/>
  <pageSetup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workbookViewId="0">
      <selection activeCell="G17" sqref="G17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  <col min="10" max="10" width="10.5703125" bestFit="1" customWidth="1"/>
  </cols>
  <sheetData>
    <row r="1" spans="1:18" s="20" customFormat="1" ht="31.5" x14ac:dyDescent="0.25">
      <c r="A1" s="68" t="s">
        <v>69</v>
      </c>
      <c r="B1" s="69" t="s">
        <v>41</v>
      </c>
      <c r="C1" s="70" t="s">
        <v>72</v>
      </c>
      <c r="D1" s="284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209</v>
      </c>
      <c r="B3" s="57" t="s">
        <v>420</v>
      </c>
      <c r="C3" s="61" t="s">
        <v>421</v>
      </c>
      <c r="D3" s="102" t="s">
        <v>422</v>
      </c>
      <c r="E3" s="57">
        <v>30</v>
      </c>
      <c r="F3" s="53">
        <v>638</v>
      </c>
      <c r="G3" s="75">
        <f>E3*F3</f>
        <v>19140</v>
      </c>
      <c r="H3" s="57" t="s">
        <v>68</v>
      </c>
      <c r="I3" s="58" t="s">
        <v>423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45" t="s">
        <v>142</v>
      </c>
      <c r="B4" s="540" t="s">
        <v>424</v>
      </c>
      <c r="C4" s="538" t="s">
        <v>425</v>
      </c>
      <c r="D4" s="539" t="s">
        <v>422</v>
      </c>
      <c r="E4" s="540">
        <v>30</v>
      </c>
      <c r="F4" s="541">
        <v>1491</v>
      </c>
      <c r="G4" s="541">
        <f>E4*F4</f>
        <v>44730</v>
      </c>
      <c r="H4" s="540" t="s">
        <v>68</v>
      </c>
      <c r="I4" s="542" t="s">
        <v>429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45" t="s">
        <v>142</v>
      </c>
      <c r="B5" s="540" t="s">
        <v>424</v>
      </c>
      <c r="C5" s="538" t="s">
        <v>428</v>
      </c>
      <c r="D5" s="539" t="s">
        <v>422</v>
      </c>
      <c r="E5" s="540">
        <v>30</v>
      </c>
      <c r="F5" s="541">
        <v>1822</v>
      </c>
      <c r="G5" s="541">
        <f t="shared" ref="G5:G7" si="0">E5*F5</f>
        <v>54660</v>
      </c>
      <c r="H5" s="540" t="s">
        <v>68</v>
      </c>
      <c r="I5" s="542" t="s">
        <v>315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45" t="s">
        <v>142</v>
      </c>
      <c r="B6" s="540" t="s">
        <v>424</v>
      </c>
      <c r="C6" s="538" t="s">
        <v>427</v>
      </c>
      <c r="D6" s="539" t="s">
        <v>422</v>
      </c>
      <c r="E6" s="540">
        <v>30</v>
      </c>
      <c r="F6" s="541">
        <v>1944</v>
      </c>
      <c r="G6" s="541">
        <f t="shared" si="0"/>
        <v>58320</v>
      </c>
      <c r="H6" s="540" t="s">
        <v>68</v>
      </c>
      <c r="I6" s="542" t="s">
        <v>430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6" customFormat="1" ht="15.95" customHeight="1" x14ac:dyDescent="0.25">
      <c r="A7" s="545" t="s">
        <v>142</v>
      </c>
      <c r="B7" s="540" t="s">
        <v>424</v>
      </c>
      <c r="C7" s="538" t="s">
        <v>426</v>
      </c>
      <c r="D7" s="539" t="s">
        <v>422</v>
      </c>
      <c r="E7" s="540">
        <v>30</v>
      </c>
      <c r="F7" s="541">
        <v>1944</v>
      </c>
      <c r="G7" s="541">
        <f t="shared" si="0"/>
        <v>58320</v>
      </c>
      <c r="H7" s="540" t="s">
        <v>68</v>
      </c>
      <c r="I7" s="542" t="s">
        <v>431</v>
      </c>
      <c r="J7" s="19"/>
      <c r="K7" s="19"/>
      <c r="L7" s="19"/>
      <c r="M7" s="19"/>
      <c r="N7" s="19"/>
      <c r="O7" s="19"/>
      <c r="P7" s="19"/>
      <c r="Q7" s="19"/>
      <c r="R7" s="19"/>
    </row>
    <row r="8" spans="1:18" s="141" customFormat="1" ht="15.95" customHeight="1" x14ac:dyDescent="0.15">
      <c r="A8" s="143">
        <v>10570060</v>
      </c>
      <c r="B8" s="65" t="s">
        <v>648</v>
      </c>
      <c r="C8" s="66" t="s">
        <v>316</v>
      </c>
      <c r="D8" s="72" t="s">
        <v>313</v>
      </c>
      <c r="E8" s="65">
        <v>30</v>
      </c>
      <c r="F8" s="55">
        <v>519</v>
      </c>
      <c r="G8" s="55">
        <f t="shared" ref="G8:G11" si="1">E8*F8</f>
        <v>15570</v>
      </c>
      <c r="H8" s="65" t="s">
        <v>68</v>
      </c>
      <c r="I8" s="58" t="s">
        <v>438</v>
      </c>
      <c r="J8" s="142"/>
      <c r="K8" s="142"/>
      <c r="L8" s="142"/>
      <c r="M8" s="142"/>
      <c r="N8" s="142"/>
      <c r="O8" s="142"/>
      <c r="P8" s="142"/>
      <c r="Q8" s="142"/>
      <c r="R8" s="142"/>
    </row>
    <row r="9" spans="1:18" s="141" customFormat="1" ht="15.95" customHeight="1" x14ac:dyDescent="0.15">
      <c r="A9" s="143">
        <v>10570060</v>
      </c>
      <c r="B9" s="65" t="s">
        <v>648</v>
      </c>
      <c r="C9" s="66" t="s">
        <v>432</v>
      </c>
      <c r="D9" s="72" t="s">
        <v>433</v>
      </c>
      <c r="E9" s="65">
        <v>30</v>
      </c>
      <c r="F9" s="55">
        <v>1350</v>
      </c>
      <c r="G9" s="55">
        <f t="shared" si="1"/>
        <v>40500</v>
      </c>
      <c r="H9" s="65" t="s">
        <v>68</v>
      </c>
      <c r="I9" s="58" t="s">
        <v>439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648</v>
      </c>
      <c r="C10" s="66" t="s">
        <v>434</v>
      </c>
      <c r="D10" s="72" t="s">
        <v>422</v>
      </c>
      <c r="E10" s="65">
        <v>30</v>
      </c>
      <c r="F10" s="55">
        <v>1346</v>
      </c>
      <c r="G10" s="55">
        <f t="shared" si="1"/>
        <v>40380</v>
      </c>
      <c r="H10" s="65" t="s">
        <v>68</v>
      </c>
      <c r="I10" s="58" t="s">
        <v>318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648</v>
      </c>
      <c r="C11" s="66" t="s">
        <v>435</v>
      </c>
      <c r="D11" s="72" t="s">
        <v>422</v>
      </c>
      <c r="E11" s="65">
        <v>30</v>
      </c>
      <c r="F11" s="55">
        <v>1339</v>
      </c>
      <c r="G11" s="55">
        <f t="shared" si="1"/>
        <v>40170</v>
      </c>
      <c r="H11" s="65" t="s">
        <v>68</v>
      </c>
      <c r="I11" s="58" t="s">
        <v>440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648</v>
      </c>
      <c r="C12" s="66" t="s">
        <v>436</v>
      </c>
      <c r="D12" s="72" t="s">
        <v>422</v>
      </c>
      <c r="E12" s="65">
        <v>30</v>
      </c>
      <c r="F12" s="55">
        <v>1342</v>
      </c>
      <c r="G12" s="55">
        <f t="shared" ref="G12:G13" si="2">E12*F12</f>
        <v>40260</v>
      </c>
      <c r="H12" s="65" t="s">
        <v>68</v>
      </c>
      <c r="I12" s="58" t="s">
        <v>317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648</v>
      </c>
      <c r="C13" s="66" t="s">
        <v>437</v>
      </c>
      <c r="D13" s="72" t="s">
        <v>422</v>
      </c>
      <c r="E13" s="65">
        <v>30</v>
      </c>
      <c r="F13" s="55">
        <v>1345</v>
      </c>
      <c r="G13" s="55">
        <f t="shared" si="2"/>
        <v>40350</v>
      </c>
      <c r="H13" s="65" t="s">
        <v>68</v>
      </c>
      <c r="I13" s="58" t="s">
        <v>441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141" customFormat="1" ht="15.95" customHeight="1" x14ac:dyDescent="0.15">
      <c r="A14" s="285" t="s">
        <v>144</v>
      </c>
      <c r="B14" s="62" t="s">
        <v>145</v>
      </c>
      <c r="C14" s="63">
        <v>101694</v>
      </c>
      <c r="D14" s="103" t="s">
        <v>320</v>
      </c>
      <c r="E14" s="62">
        <v>25</v>
      </c>
      <c r="F14" s="53">
        <v>0</v>
      </c>
      <c r="G14" s="53">
        <f>E14*F14</f>
        <v>0</v>
      </c>
      <c r="H14" s="62" t="s">
        <v>68</v>
      </c>
      <c r="I14" s="58" t="s">
        <v>314</v>
      </c>
      <c r="J14" s="142"/>
      <c r="K14" s="142"/>
      <c r="L14" s="142"/>
      <c r="M14" s="142"/>
      <c r="N14" s="142"/>
      <c r="O14" s="142"/>
      <c r="P14" s="142"/>
      <c r="Q14" s="142"/>
      <c r="R14" s="142"/>
    </row>
    <row r="15" spans="1:18" s="141" customFormat="1" ht="15.95" customHeight="1" x14ac:dyDescent="0.15">
      <c r="A15" s="285" t="s">
        <v>144</v>
      </c>
      <c r="B15" s="62" t="s">
        <v>145</v>
      </c>
      <c r="C15" s="63">
        <v>101694</v>
      </c>
      <c r="D15" s="103" t="s">
        <v>320</v>
      </c>
      <c r="E15" s="62">
        <v>25</v>
      </c>
      <c r="F15" s="53">
        <v>0</v>
      </c>
      <c r="G15" s="53">
        <f t="shared" ref="G15:G17" si="3">E15*F15</f>
        <v>0</v>
      </c>
      <c r="H15" s="62" t="s">
        <v>68</v>
      </c>
      <c r="I15" s="58" t="s">
        <v>442</v>
      </c>
      <c r="J15" s="142"/>
      <c r="K15" s="142"/>
      <c r="L15" s="142"/>
      <c r="M15" s="142"/>
      <c r="N15" s="142"/>
      <c r="O15" s="142"/>
      <c r="P15" s="142"/>
      <c r="Q15" s="142"/>
      <c r="R15" s="142"/>
    </row>
    <row r="16" spans="1:18" s="141" customFormat="1" ht="15.95" customHeight="1" x14ac:dyDescent="0.15">
      <c r="A16" s="285" t="s">
        <v>144</v>
      </c>
      <c r="B16" s="62" t="s">
        <v>145</v>
      </c>
      <c r="C16" s="63">
        <v>101693</v>
      </c>
      <c r="D16" s="103" t="s">
        <v>320</v>
      </c>
      <c r="E16" s="62">
        <v>25</v>
      </c>
      <c r="F16" s="53">
        <v>0</v>
      </c>
      <c r="G16" s="53">
        <f t="shared" si="3"/>
        <v>0</v>
      </c>
      <c r="H16" s="62" t="s">
        <v>68</v>
      </c>
      <c r="I16" s="58" t="s">
        <v>443</v>
      </c>
      <c r="J16" s="142"/>
      <c r="K16" s="142"/>
      <c r="L16" s="142"/>
      <c r="M16" s="142"/>
      <c r="N16" s="142"/>
      <c r="O16" s="142"/>
      <c r="P16" s="142"/>
      <c r="Q16" s="142"/>
      <c r="R16" s="142"/>
    </row>
    <row r="17" spans="1:18" s="6" customFormat="1" ht="15.95" customHeight="1" x14ac:dyDescent="0.25">
      <c r="A17" s="285" t="s">
        <v>144</v>
      </c>
      <c r="B17" s="62" t="s">
        <v>145</v>
      </c>
      <c r="C17" s="63">
        <v>101695</v>
      </c>
      <c r="D17" s="103" t="s">
        <v>320</v>
      </c>
      <c r="E17" s="62">
        <v>25</v>
      </c>
      <c r="F17" s="53">
        <v>800</v>
      </c>
      <c r="G17" s="53">
        <f t="shared" si="3"/>
        <v>20000</v>
      </c>
      <c r="H17" s="62" t="s">
        <v>68</v>
      </c>
      <c r="I17" s="58" t="s">
        <v>312</v>
      </c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15.95" customHeight="1" x14ac:dyDescent="0.25">
      <c r="A18" s="546"/>
      <c r="B18" s="547"/>
      <c r="C18" s="547"/>
      <c r="D18" s="547"/>
      <c r="E18" s="547"/>
      <c r="F18" s="548"/>
      <c r="G18" s="548"/>
      <c r="H18" s="547"/>
      <c r="I18" s="549"/>
      <c r="J18" s="80"/>
      <c r="K18" s="80"/>
      <c r="L18" s="80"/>
      <c r="M18" s="80"/>
      <c r="N18" s="80"/>
      <c r="O18" s="80"/>
      <c r="P18" s="80"/>
      <c r="Q18" s="80"/>
      <c r="R18" s="80"/>
    </row>
    <row r="19" spans="1:18" s="6" customFormat="1" ht="15.95" customHeight="1" x14ac:dyDescent="0.25">
      <c r="A19" s="550" t="s">
        <v>76</v>
      </c>
      <c r="B19" s="551"/>
      <c r="C19" s="552"/>
      <c r="D19" s="552"/>
      <c r="E19" s="551"/>
      <c r="F19" s="553"/>
      <c r="G19" s="553"/>
      <c r="H19" s="551"/>
      <c r="I19" s="551"/>
      <c r="J19" s="19"/>
      <c r="K19" s="19"/>
      <c r="L19" s="19"/>
      <c r="M19" s="19"/>
      <c r="N19" s="19"/>
      <c r="O19" s="19"/>
      <c r="P19" s="19"/>
      <c r="Q19" s="19"/>
      <c r="R19" s="19"/>
    </row>
    <row r="20" spans="1:18" s="6" customFormat="1" ht="15.95" customHeight="1" x14ac:dyDescent="0.25">
      <c r="A20" s="557" t="s">
        <v>209</v>
      </c>
      <c r="B20" s="62" t="s">
        <v>120</v>
      </c>
      <c r="C20" s="63" t="s">
        <v>533</v>
      </c>
      <c r="D20" s="103">
        <v>46692</v>
      </c>
      <c r="E20" s="62">
        <v>30</v>
      </c>
      <c r="F20" s="53">
        <v>1364</v>
      </c>
      <c r="G20" s="53">
        <f>E20*F20</f>
        <v>40920</v>
      </c>
      <c r="H20" s="62" t="s">
        <v>74</v>
      </c>
      <c r="I20" s="82" t="s">
        <v>25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s="6" customFormat="1" ht="15.95" customHeight="1" x14ac:dyDescent="0.25">
      <c r="A21" s="557" t="s">
        <v>209</v>
      </c>
      <c r="B21" s="62" t="s">
        <v>120</v>
      </c>
      <c r="C21" s="63" t="s">
        <v>359</v>
      </c>
      <c r="D21" s="103">
        <v>46017</v>
      </c>
      <c r="E21" s="62">
        <v>30</v>
      </c>
      <c r="F21" s="53">
        <v>2601</v>
      </c>
      <c r="G21" s="53">
        <f>E21*F21</f>
        <v>78030</v>
      </c>
      <c r="H21" s="62" t="s">
        <v>74</v>
      </c>
      <c r="I21" s="82" t="s">
        <v>25</v>
      </c>
      <c r="J21" s="19"/>
      <c r="K21" s="19"/>
      <c r="L21" s="19"/>
      <c r="M21" s="19"/>
      <c r="N21" s="19"/>
      <c r="O21" s="19"/>
      <c r="P21" s="19"/>
      <c r="Q21" s="19"/>
      <c r="R21" s="19"/>
    </row>
    <row r="22" spans="1:18" s="6" customFormat="1" ht="15.95" customHeight="1" x14ac:dyDescent="0.25">
      <c r="A22" s="558" t="s">
        <v>142</v>
      </c>
      <c r="B22" s="540" t="s">
        <v>70</v>
      </c>
      <c r="C22" s="543" t="s">
        <v>534</v>
      </c>
      <c r="D22" s="544">
        <v>46692</v>
      </c>
      <c r="E22" s="540">
        <v>30</v>
      </c>
      <c r="F22" s="541">
        <v>684</v>
      </c>
      <c r="G22" s="541">
        <f t="shared" ref="G22:G29" si="4">E22*F22</f>
        <v>20520</v>
      </c>
      <c r="H22" s="540" t="s">
        <v>74</v>
      </c>
      <c r="I22" s="542" t="s">
        <v>25</v>
      </c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5.95" customHeight="1" x14ac:dyDescent="0.25">
      <c r="A23" s="558" t="s">
        <v>142</v>
      </c>
      <c r="B23" s="540" t="s">
        <v>70</v>
      </c>
      <c r="C23" s="543" t="s">
        <v>362</v>
      </c>
      <c r="D23" s="544">
        <v>46388</v>
      </c>
      <c r="E23" s="540">
        <v>30</v>
      </c>
      <c r="F23" s="541">
        <v>324</v>
      </c>
      <c r="G23" s="541">
        <f>E23*F23</f>
        <v>9720</v>
      </c>
      <c r="H23" s="540" t="s">
        <v>74</v>
      </c>
      <c r="I23" s="542" t="s">
        <v>25</v>
      </c>
      <c r="J23" s="80"/>
      <c r="K23" s="80"/>
      <c r="L23" s="80"/>
      <c r="M23" s="80"/>
      <c r="N23" s="80"/>
      <c r="O23" s="80"/>
      <c r="P23" s="80"/>
      <c r="Q23" s="80"/>
      <c r="R23" s="80"/>
    </row>
    <row r="24" spans="1:18" s="6" customFormat="1" ht="15.95" customHeight="1" x14ac:dyDescent="0.25">
      <c r="A24" s="564">
        <v>10570050</v>
      </c>
      <c r="B24" s="530" t="s">
        <v>71</v>
      </c>
      <c r="C24" s="533" t="s">
        <v>536</v>
      </c>
      <c r="D24" s="534">
        <v>46018</v>
      </c>
      <c r="E24" s="530">
        <v>30</v>
      </c>
      <c r="F24" s="531">
        <v>120</v>
      </c>
      <c r="G24" s="531">
        <f>E24*F24</f>
        <v>3600</v>
      </c>
      <c r="H24" s="563" t="s">
        <v>74</v>
      </c>
      <c r="I24" s="532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s="6" customFormat="1" ht="15.95" customHeight="1" x14ac:dyDescent="0.25">
      <c r="A25" s="564">
        <v>10570050</v>
      </c>
      <c r="B25" s="530" t="s">
        <v>71</v>
      </c>
      <c r="C25" s="533" t="s">
        <v>366</v>
      </c>
      <c r="D25" s="534">
        <v>46017</v>
      </c>
      <c r="E25" s="530">
        <v>30</v>
      </c>
      <c r="F25" s="531">
        <v>384</v>
      </c>
      <c r="G25" s="531">
        <f>E25*F25</f>
        <v>11520</v>
      </c>
      <c r="H25" s="563" t="s">
        <v>74</v>
      </c>
      <c r="I25" s="532" t="s">
        <v>25</v>
      </c>
      <c r="J25" s="19"/>
      <c r="K25" s="19"/>
      <c r="L25" s="19"/>
      <c r="M25" s="19"/>
      <c r="N25" s="19"/>
      <c r="O25" s="19"/>
      <c r="P25" s="19"/>
      <c r="Q25" s="19"/>
      <c r="R25" s="19"/>
    </row>
    <row r="26" spans="1:18" s="6" customFormat="1" ht="15.95" customHeight="1" x14ac:dyDescent="0.25">
      <c r="A26" s="564">
        <v>10570050</v>
      </c>
      <c r="B26" s="530" t="s">
        <v>71</v>
      </c>
      <c r="C26" s="533" t="s">
        <v>537</v>
      </c>
      <c r="D26" s="534">
        <v>45988</v>
      </c>
      <c r="E26" s="530">
        <v>30</v>
      </c>
      <c r="F26" s="531">
        <v>36</v>
      </c>
      <c r="G26" s="531">
        <f>E26*F26</f>
        <v>1080</v>
      </c>
      <c r="H26" s="563" t="s">
        <v>74</v>
      </c>
      <c r="I26" s="532" t="s">
        <v>25</v>
      </c>
      <c r="J26" s="19"/>
      <c r="K26" s="19"/>
      <c r="L26" s="19"/>
      <c r="M26" s="19"/>
      <c r="N26" s="19"/>
      <c r="O26" s="19"/>
      <c r="P26" s="19"/>
      <c r="Q26" s="19"/>
      <c r="R26" s="19"/>
    </row>
    <row r="27" spans="1:18" ht="15.95" customHeight="1" x14ac:dyDescent="0.25">
      <c r="A27" s="905">
        <v>10570060</v>
      </c>
      <c r="B27" s="62" t="s">
        <v>168</v>
      </c>
      <c r="C27" s="63" t="s">
        <v>538</v>
      </c>
      <c r="D27" s="103">
        <v>46692</v>
      </c>
      <c r="E27" s="62">
        <v>30</v>
      </c>
      <c r="F27" s="53">
        <v>0</v>
      </c>
      <c r="G27" s="53">
        <f>E27*F27</f>
        <v>0</v>
      </c>
      <c r="H27" s="62" t="s">
        <v>74</v>
      </c>
      <c r="I27" s="82" t="s">
        <v>25</v>
      </c>
      <c r="J27" s="80"/>
      <c r="K27" s="80"/>
      <c r="L27" s="80"/>
      <c r="M27" s="80"/>
      <c r="N27" s="80"/>
      <c r="O27" s="80"/>
      <c r="P27" s="80"/>
      <c r="Q27" s="80"/>
      <c r="R27" s="80"/>
    </row>
    <row r="28" spans="1:18" ht="15.95" customHeight="1" x14ac:dyDescent="0.25">
      <c r="A28" s="559" t="s">
        <v>140</v>
      </c>
      <c r="B28" s="530" t="s">
        <v>141</v>
      </c>
      <c r="C28" s="533" t="s">
        <v>539</v>
      </c>
      <c r="D28" s="534">
        <v>46419</v>
      </c>
      <c r="E28" s="554">
        <v>100</v>
      </c>
      <c r="F28" s="555">
        <v>0</v>
      </c>
      <c r="G28" s="556">
        <f t="shared" si="4"/>
        <v>0</v>
      </c>
      <c r="H28" s="530" t="s">
        <v>74</v>
      </c>
      <c r="I28" s="532" t="s">
        <v>25</v>
      </c>
      <c r="J28" s="80"/>
      <c r="K28" s="80"/>
      <c r="L28" s="80"/>
      <c r="M28" s="80"/>
      <c r="N28" s="80"/>
      <c r="O28" s="80"/>
      <c r="P28" s="80"/>
      <c r="Q28" s="80"/>
      <c r="R28" s="80"/>
    </row>
    <row r="29" spans="1:18" ht="15.95" customHeight="1" x14ac:dyDescent="0.25">
      <c r="A29" s="559" t="s">
        <v>140</v>
      </c>
      <c r="B29" s="530" t="s">
        <v>141</v>
      </c>
      <c r="C29" s="533" t="s">
        <v>668</v>
      </c>
      <c r="D29" s="534" t="s">
        <v>668</v>
      </c>
      <c r="E29" s="554">
        <v>100</v>
      </c>
      <c r="F29" s="555">
        <v>10000</v>
      </c>
      <c r="G29" s="556">
        <f t="shared" si="4"/>
        <v>1000000</v>
      </c>
      <c r="H29" s="530" t="s">
        <v>74</v>
      </c>
      <c r="I29" s="532" t="s">
        <v>25</v>
      </c>
      <c r="J29" s="298"/>
      <c r="K29" s="80"/>
      <c r="L29" s="80"/>
      <c r="M29" s="80"/>
      <c r="N29" s="80"/>
      <c r="O29" s="80"/>
      <c r="P29" s="80"/>
      <c r="Q29" s="80"/>
      <c r="R29" s="80"/>
    </row>
    <row r="30" spans="1:18" ht="15.95" customHeight="1" x14ac:dyDescent="0.25">
      <c r="A30" s="559" t="s">
        <v>140</v>
      </c>
      <c r="B30" s="530" t="s">
        <v>141</v>
      </c>
      <c r="C30" s="533" t="s">
        <v>365</v>
      </c>
      <c r="D30" s="534">
        <v>46419</v>
      </c>
      <c r="E30" s="554">
        <v>100</v>
      </c>
      <c r="F30" s="555">
        <v>85</v>
      </c>
      <c r="G30" s="556">
        <f>E30*F30</f>
        <v>8500</v>
      </c>
      <c r="H30" s="530" t="s">
        <v>74</v>
      </c>
      <c r="I30" s="532" t="s">
        <v>25</v>
      </c>
      <c r="J30" s="80"/>
      <c r="K30" s="80"/>
      <c r="L30" s="80"/>
      <c r="M30" s="80"/>
      <c r="N30" s="80"/>
      <c r="O30" s="80"/>
      <c r="P30" s="80"/>
      <c r="Q30" s="80"/>
      <c r="R30" s="80"/>
    </row>
    <row r="31" spans="1:18" ht="15.95" customHeight="1" x14ac:dyDescent="0.25">
      <c r="A31" s="560">
        <v>40240100</v>
      </c>
      <c r="B31" s="57" t="s">
        <v>29</v>
      </c>
      <c r="C31" s="63" t="s">
        <v>540</v>
      </c>
      <c r="D31" s="102">
        <v>46023</v>
      </c>
      <c r="E31" s="57">
        <v>25</v>
      </c>
      <c r="F31" s="75">
        <v>3900</v>
      </c>
      <c r="G31" s="75">
        <f t="shared" ref="G31:G36" si="5">E31*F31</f>
        <v>97500</v>
      </c>
      <c r="H31" s="57" t="s">
        <v>74</v>
      </c>
      <c r="I31" s="58" t="s">
        <v>25</v>
      </c>
      <c r="J31" s="80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560">
        <v>40240100</v>
      </c>
      <c r="B32" s="57" t="s">
        <v>29</v>
      </c>
      <c r="C32" s="63" t="s">
        <v>467</v>
      </c>
      <c r="D32" s="102">
        <v>46266</v>
      </c>
      <c r="E32" s="57">
        <v>25</v>
      </c>
      <c r="F32" s="75">
        <v>2800</v>
      </c>
      <c r="G32" s="75">
        <f t="shared" si="5"/>
        <v>70000</v>
      </c>
      <c r="H32" s="57" t="s">
        <v>74</v>
      </c>
      <c r="I32" s="58" t="s">
        <v>25</v>
      </c>
      <c r="J32" s="80"/>
    </row>
    <row r="33" spans="1:18" ht="15.95" customHeight="1" x14ac:dyDescent="0.25">
      <c r="A33" s="560">
        <v>40240100</v>
      </c>
      <c r="B33" s="57" t="s">
        <v>29</v>
      </c>
      <c r="C33" s="63" t="s">
        <v>541</v>
      </c>
      <c r="D33" s="102">
        <v>46478</v>
      </c>
      <c r="E33" s="57">
        <v>25</v>
      </c>
      <c r="F33" s="75">
        <v>10000</v>
      </c>
      <c r="G33" s="75">
        <f t="shared" si="5"/>
        <v>250000</v>
      </c>
      <c r="H33" s="57" t="s">
        <v>74</v>
      </c>
      <c r="I33" s="58" t="s">
        <v>25</v>
      </c>
      <c r="J33" s="80"/>
    </row>
    <row r="34" spans="1:18" ht="15.95" customHeight="1" x14ac:dyDescent="0.25">
      <c r="A34" s="560">
        <v>40240100</v>
      </c>
      <c r="B34" s="57" t="s">
        <v>29</v>
      </c>
      <c r="C34" s="63" t="s">
        <v>541</v>
      </c>
      <c r="D34" s="102" t="s">
        <v>344</v>
      </c>
      <c r="E34" s="57">
        <v>25</v>
      </c>
      <c r="F34" s="75">
        <v>1500</v>
      </c>
      <c r="G34" s="75">
        <f>E34*F34</f>
        <v>37500</v>
      </c>
      <c r="H34" s="57" t="s">
        <v>74</v>
      </c>
      <c r="I34" s="58" t="s">
        <v>25</v>
      </c>
      <c r="J34" s="80"/>
    </row>
    <row r="35" spans="1:18" ht="15.95" customHeight="1" x14ac:dyDescent="0.25">
      <c r="C35"/>
      <c r="D35"/>
      <c r="F35"/>
      <c r="G35" s="298"/>
      <c r="H35" s="298"/>
      <c r="J35" s="80"/>
    </row>
    <row r="36" spans="1:18" ht="15.95" customHeight="1" x14ac:dyDescent="0.25">
      <c r="A36" s="50" t="s">
        <v>77</v>
      </c>
      <c r="B36" s="51"/>
      <c r="C36" s="52"/>
      <c r="D36" s="52"/>
      <c r="E36" s="51"/>
      <c r="F36" s="79"/>
      <c r="G36" s="75">
        <f t="shared" si="5"/>
        <v>0</v>
      </c>
      <c r="H36" s="51"/>
      <c r="I36" s="56"/>
      <c r="J36" s="80"/>
    </row>
    <row r="37" spans="1:18" ht="15.95" customHeight="1" x14ac:dyDescent="0.25">
      <c r="A37" s="557" t="s">
        <v>209</v>
      </c>
      <c r="B37" s="62" t="s">
        <v>120</v>
      </c>
      <c r="C37" s="63" t="s">
        <v>533</v>
      </c>
      <c r="D37" s="103" t="s">
        <v>543</v>
      </c>
      <c r="E37" s="62">
        <v>30</v>
      </c>
      <c r="F37" s="53">
        <v>181</v>
      </c>
      <c r="G37" s="53">
        <f>E37*F37</f>
        <v>5430</v>
      </c>
      <c r="H37" s="62" t="s">
        <v>74</v>
      </c>
      <c r="I37" s="82" t="s">
        <v>26</v>
      </c>
      <c r="K37" s="80"/>
      <c r="L37" s="80"/>
      <c r="M37" s="80"/>
      <c r="N37" s="80"/>
      <c r="O37" s="80"/>
      <c r="P37" s="80"/>
      <c r="Q37" s="80"/>
      <c r="R37" s="80"/>
    </row>
    <row r="38" spans="1:18" ht="15.95" customHeight="1" x14ac:dyDescent="0.25">
      <c r="A38" s="557" t="s">
        <v>209</v>
      </c>
      <c r="B38" s="62" t="s">
        <v>120</v>
      </c>
      <c r="C38" s="63" t="s">
        <v>463</v>
      </c>
      <c r="D38" s="103" t="s">
        <v>344</v>
      </c>
      <c r="E38" s="62">
        <v>30</v>
      </c>
      <c r="F38" s="53">
        <v>0</v>
      </c>
      <c r="G38" s="53">
        <f>E38*F38</f>
        <v>0</v>
      </c>
      <c r="H38" s="62" t="s">
        <v>74</v>
      </c>
      <c r="I38" s="82" t="s">
        <v>26</v>
      </c>
      <c r="K38" s="80"/>
      <c r="L38" s="80"/>
      <c r="M38" s="80"/>
      <c r="N38" s="80"/>
      <c r="O38" s="80"/>
      <c r="P38" s="80"/>
      <c r="Q38" s="80"/>
      <c r="R38" s="80"/>
    </row>
    <row r="39" spans="1:18" s="6" customFormat="1" ht="15.95" customHeight="1" x14ac:dyDescent="0.25">
      <c r="A39" s="561">
        <v>10570040</v>
      </c>
      <c r="B39" s="65" t="s">
        <v>108</v>
      </c>
      <c r="C39" s="66" t="s">
        <v>362</v>
      </c>
      <c r="D39" s="72" t="s">
        <v>363</v>
      </c>
      <c r="E39" s="67">
        <v>30</v>
      </c>
      <c r="F39" s="78">
        <v>0</v>
      </c>
      <c r="G39" s="55">
        <f>E39*F39</f>
        <v>0</v>
      </c>
      <c r="H39" s="81" t="s">
        <v>74</v>
      </c>
      <c r="I39" s="81" t="s">
        <v>26</v>
      </c>
      <c r="J39" s="19"/>
      <c r="K39" s="19"/>
      <c r="L39" s="19"/>
      <c r="M39" s="19"/>
      <c r="N39" s="19"/>
      <c r="O39" s="19"/>
      <c r="P39" s="19"/>
      <c r="Q39" s="19"/>
      <c r="R39" s="19"/>
    </row>
    <row r="40" spans="1:18" s="6" customFormat="1" ht="15.95" customHeight="1" x14ac:dyDescent="0.25">
      <c r="A40" s="561">
        <v>10570040</v>
      </c>
      <c r="B40" s="65" t="s">
        <v>108</v>
      </c>
      <c r="C40" s="66" t="s">
        <v>361</v>
      </c>
      <c r="D40" s="72" t="s">
        <v>344</v>
      </c>
      <c r="E40" s="67">
        <v>30</v>
      </c>
      <c r="F40" s="78">
        <v>0</v>
      </c>
      <c r="G40" s="55">
        <f t="shared" ref="G40:G41" si="6">E40*F40</f>
        <v>0</v>
      </c>
      <c r="H40" s="81" t="s">
        <v>74</v>
      </c>
      <c r="I40" s="81" t="s">
        <v>26</v>
      </c>
      <c r="J40" s="19"/>
      <c r="K40" s="19"/>
      <c r="L40" s="19"/>
      <c r="M40" s="19"/>
      <c r="N40" s="19"/>
      <c r="O40" s="19"/>
      <c r="P40" s="19"/>
      <c r="Q40" s="19"/>
      <c r="R40" s="19"/>
    </row>
    <row r="41" spans="1:18" s="6" customFormat="1" ht="15.95" customHeight="1" x14ac:dyDescent="0.25">
      <c r="A41" s="561">
        <v>10570040</v>
      </c>
      <c r="B41" s="65" t="s">
        <v>108</v>
      </c>
      <c r="C41" s="66" t="s">
        <v>534</v>
      </c>
      <c r="D41" s="72" t="s">
        <v>543</v>
      </c>
      <c r="E41" s="67">
        <v>30</v>
      </c>
      <c r="F41" s="78">
        <v>419</v>
      </c>
      <c r="G41" s="55">
        <f t="shared" si="6"/>
        <v>12570</v>
      </c>
      <c r="H41" s="81" t="s">
        <v>74</v>
      </c>
      <c r="I41" s="81" t="s">
        <v>26</v>
      </c>
      <c r="J41" s="19"/>
      <c r="K41" s="19"/>
      <c r="L41" s="19"/>
      <c r="M41" s="19"/>
      <c r="N41" s="19"/>
      <c r="O41" s="19"/>
      <c r="P41" s="19"/>
      <c r="Q41" s="19"/>
      <c r="R41" s="19"/>
    </row>
    <row r="42" spans="1:18" s="6" customFormat="1" ht="15.95" customHeight="1" x14ac:dyDescent="0.25">
      <c r="A42" s="564">
        <v>10570050</v>
      </c>
      <c r="B42" s="530" t="s">
        <v>71</v>
      </c>
      <c r="C42" s="533" t="s">
        <v>366</v>
      </c>
      <c r="D42" s="534" t="s">
        <v>360</v>
      </c>
      <c r="E42" s="530">
        <v>30</v>
      </c>
      <c r="F42" s="531">
        <v>0</v>
      </c>
      <c r="G42" s="531">
        <f t="shared" ref="G42:G43" si="7">E42*F42</f>
        <v>0</v>
      </c>
      <c r="H42" s="563" t="s">
        <v>74</v>
      </c>
      <c r="I42" s="532" t="s">
        <v>26</v>
      </c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5.95" customHeight="1" x14ac:dyDescent="0.25">
      <c r="A43" s="564">
        <v>10570050</v>
      </c>
      <c r="B43" s="530" t="s">
        <v>71</v>
      </c>
      <c r="C43" s="533" t="s">
        <v>536</v>
      </c>
      <c r="D43" s="534" t="s">
        <v>543</v>
      </c>
      <c r="E43" s="530">
        <v>30</v>
      </c>
      <c r="F43" s="531">
        <v>360</v>
      </c>
      <c r="G43" s="531">
        <f t="shared" si="7"/>
        <v>10800</v>
      </c>
      <c r="H43" s="563" t="s">
        <v>74</v>
      </c>
      <c r="I43" s="532" t="s">
        <v>26</v>
      </c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5.95" customHeight="1" x14ac:dyDescent="0.25">
      <c r="A44" s="565" t="s">
        <v>143</v>
      </c>
      <c r="B44" s="65" t="s">
        <v>106</v>
      </c>
      <c r="C44" s="66" t="s">
        <v>465</v>
      </c>
      <c r="D44" s="72" t="s">
        <v>344</v>
      </c>
      <c r="E44" s="67">
        <v>30</v>
      </c>
      <c r="F44" s="78">
        <v>0</v>
      </c>
      <c r="G44" s="55">
        <f t="shared" ref="G44:G51" si="8">E44*F44</f>
        <v>0</v>
      </c>
      <c r="H44" s="81" t="s">
        <v>74</v>
      </c>
      <c r="I44" s="81" t="s">
        <v>26</v>
      </c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5.95" customHeight="1" x14ac:dyDescent="0.25">
      <c r="A45" s="565" t="s">
        <v>143</v>
      </c>
      <c r="B45" s="65" t="s">
        <v>106</v>
      </c>
      <c r="C45" s="66" t="s">
        <v>364</v>
      </c>
      <c r="D45" s="72" t="s">
        <v>360</v>
      </c>
      <c r="E45" s="67">
        <v>30</v>
      </c>
      <c r="F45" s="78">
        <v>0</v>
      </c>
      <c r="G45" s="55">
        <f>E45*F45</f>
        <v>0</v>
      </c>
      <c r="H45" s="81" t="s">
        <v>74</v>
      </c>
      <c r="I45" s="81" t="s">
        <v>26</v>
      </c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15.95" customHeight="1" x14ac:dyDescent="0.25">
      <c r="A46" s="565" t="s">
        <v>143</v>
      </c>
      <c r="B46" s="65" t="s">
        <v>106</v>
      </c>
      <c r="C46" s="66" t="s">
        <v>464</v>
      </c>
      <c r="D46" s="72" t="s">
        <v>344</v>
      </c>
      <c r="E46" s="67">
        <v>30</v>
      </c>
      <c r="F46" s="78">
        <v>0</v>
      </c>
      <c r="G46" s="55">
        <f t="shared" si="8"/>
        <v>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s="6" customFormat="1" ht="15.95" customHeight="1" x14ac:dyDescent="0.25">
      <c r="A47" s="565" t="s">
        <v>143</v>
      </c>
      <c r="B47" s="65" t="s">
        <v>106</v>
      </c>
      <c r="C47" s="66" t="s">
        <v>463</v>
      </c>
      <c r="D47" s="72" t="s">
        <v>344</v>
      </c>
      <c r="E47" s="67">
        <v>30</v>
      </c>
      <c r="F47" s="78">
        <v>0</v>
      </c>
      <c r="G47" s="55">
        <f>E47*F47</f>
        <v>0</v>
      </c>
      <c r="H47" s="81" t="s">
        <v>74</v>
      </c>
      <c r="I47" s="81" t="s">
        <v>26</v>
      </c>
      <c r="J47" s="19"/>
      <c r="K47" s="19"/>
      <c r="L47" s="19"/>
      <c r="M47" s="19"/>
      <c r="N47" s="19"/>
      <c r="O47" s="19"/>
      <c r="P47" s="19"/>
      <c r="Q47" s="19"/>
      <c r="R47" s="19"/>
    </row>
    <row r="48" spans="1:18" s="6" customFormat="1" ht="15.95" customHeight="1" x14ac:dyDescent="0.25">
      <c r="A48" s="565" t="s">
        <v>143</v>
      </c>
      <c r="B48" s="65" t="s">
        <v>106</v>
      </c>
      <c r="C48" s="66" t="s">
        <v>544</v>
      </c>
      <c r="D48" s="72" t="s">
        <v>543</v>
      </c>
      <c r="E48" s="67">
        <v>30</v>
      </c>
      <c r="F48" s="78">
        <v>233</v>
      </c>
      <c r="G48" s="55">
        <f>E48*F48</f>
        <v>6990</v>
      </c>
      <c r="H48" s="81" t="s">
        <v>74</v>
      </c>
      <c r="I48" s="81" t="s">
        <v>26</v>
      </c>
      <c r="J48" s="19"/>
      <c r="K48" s="19"/>
      <c r="L48" s="19"/>
      <c r="M48" s="19"/>
      <c r="N48" s="19"/>
      <c r="O48" s="19"/>
      <c r="P48" s="19"/>
      <c r="Q48" s="19"/>
      <c r="R48" s="19"/>
    </row>
    <row r="49" spans="1:18" ht="15.75" customHeight="1" x14ac:dyDescent="0.25">
      <c r="A49" s="559" t="s">
        <v>140</v>
      </c>
      <c r="B49" s="530" t="s">
        <v>141</v>
      </c>
      <c r="C49" s="533" t="s">
        <v>545</v>
      </c>
      <c r="D49" s="534" t="s">
        <v>546</v>
      </c>
      <c r="E49" s="554">
        <v>100</v>
      </c>
      <c r="F49" s="555">
        <v>8464</v>
      </c>
      <c r="G49" s="556">
        <f>E49*F49</f>
        <v>846400</v>
      </c>
      <c r="H49" s="530" t="s">
        <v>74</v>
      </c>
      <c r="I49" s="532" t="s">
        <v>26</v>
      </c>
      <c r="J49" s="80"/>
      <c r="K49" s="80"/>
      <c r="L49" s="80"/>
      <c r="M49" s="80"/>
      <c r="N49" s="80"/>
      <c r="O49" s="80"/>
      <c r="P49" s="80"/>
      <c r="Q49" s="80"/>
      <c r="R49" s="80"/>
    </row>
    <row r="50" spans="1:18" ht="15.95" customHeight="1" x14ac:dyDescent="0.25">
      <c r="A50" s="566">
        <v>40240100</v>
      </c>
      <c r="B50" s="62" t="s">
        <v>29</v>
      </c>
      <c r="C50" s="63" t="s">
        <v>542</v>
      </c>
      <c r="D50" s="103" t="s">
        <v>363</v>
      </c>
      <c r="E50" s="64">
        <v>25</v>
      </c>
      <c r="F50" s="77">
        <v>6986</v>
      </c>
      <c r="G50" s="54">
        <f t="shared" si="8"/>
        <v>174650</v>
      </c>
      <c r="H50" s="82" t="s">
        <v>74</v>
      </c>
      <c r="I50" s="82" t="s">
        <v>26</v>
      </c>
      <c r="J50" s="80"/>
      <c r="K50" s="80"/>
      <c r="L50" s="80"/>
      <c r="M50" s="80"/>
      <c r="N50" s="80"/>
      <c r="O50" s="80"/>
      <c r="P50" s="80"/>
      <c r="Q50" s="80"/>
      <c r="R50" s="80"/>
    </row>
    <row r="51" spans="1:18" ht="15.95" customHeight="1" x14ac:dyDescent="0.25">
      <c r="A51" s="566">
        <v>40240100</v>
      </c>
      <c r="B51" s="62" t="s">
        <v>29</v>
      </c>
      <c r="C51" s="63" t="s">
        <v>542</v>
      </c>
      <c r="D51" s="103" t="s">
        <v>363</v>
      </c>
      <c r="E51" s="64">
        <v>25</v>
      </c>
      <c r="F51" s="77">
        <v>0</v>
      </c>
      <c r="G51" s="54">
        <f t="shared" si="8"/>
        <v>0</v>
      </c>
      <c r="H51" s="82" t="s">
        <v>74</v>
      </c>
      <c r="I51" s="82" t="s">
        <v>26</v>
      </c>
      <c r="J51" s="80"/>
      <c r="K51" s="80"/>
      <c r="L51" s="80"/>
      <c r="M51" s="80"/>
      <c r="N51" s="80"/>
      <c r="O51" s="80"/>
      <c r="P51" s="80"/>
      <c r="Q51" s="80"/>
      <c r="R51" s="80"/>
    </row>
    <row r="52" spans="1:18" s="1067" customFormat="1" ht="15.95" customHeight="1" x14ac:dyDescent="0.25">
      <c r="A52" s="1058"/>
      <c r="B52" s="1059"/>
      <c r="C52" s="1060"/>
      <c r="D52" s="1061"/>
      <c r="E52" s="1062"/>
      <c r="F52" s="1063"/>
      <c r="G52" s="1064"/>
      <c r="H52" s="1065"/>
      <c r="I52" s="1065"/>
      <c r="J52" s="1066"/>
      <c r="K52" s="1066"/>
      <c r="L52" s="1066"/>
      <c r="M52" s="1066"/>
      <c r="N52" s="1066"/>
      <c r="O52" s="1066"/>
      <c r="P52" s="1066"/>
      <c r="Q52" s="1066"/>
      <c r="R52" s="1066"/>
    </row>
    <row r="53" spans="1:18" ht="15.95" customHeight="1" x14ac:dyDescent="0.25">
      <c r="A53" s="47" t="s">
        <v>78</v>
      </c>
      <c r="B53" s="48"/>
      <c r="C53" s="49"/>
      <c r="D53" s="49"/>
      <c r="E53" s="48"/>
      <c r="F53" s="74"/>
      <c r="G53" s="76">
        <f t="shared" ref="G53:G58" si="9">E53*F53</f>
        <v>0</v>
      </c>
      <c r="H53" s="59"/>
      <c r="I53" s="59"/>
      <c r="J53" s="80"/>
      <c r="K53" s="80"/>
      <c r="L53" s="80"/>
      <c r="M53" s="80"/>
      <c r="N53" s="80"/>
      <c r="O53" s="80"/>
      <c r="P53" s="80"/>
      <c r="Q53" s="80"/>
      <c r="R53" s="80"/>
    </row>
    <row r="54" spans="1:18" s="145" customFormat="1" ht="15.95" customHeight="1" x14ac:dyDescent="0.2">
      <c r="A54" s="1068" t="s">
        <v>209</v>
      </c>
      <c r="B54" s="563" t="s">
        <v>120</v>
      </c>
      <c r="C54" s="570" t="s">
        <v>533</v>
      </c>
      <c r="D54" s="571">
        <v>46721</v>
      </c>
      <c r="E54" s="563">
        <v>30</v>
      </c>
      <c r="F54" s="556">
        <f>413+48</f>
        <v>461</v>
      </c>
      <c r="G54" s="556">
        <f t="shared" si="9"/>
        <v>13830</v>
      </c>
      <c r="H54" s="563" t="s">
        <v>74</v>
      </c>
      <c r="I54" s="567" t="s">
        <v>27</v>
      </c>
    </row>
    <row r="55" spans="1:18" s="145" customFormat="1" ht="15.95" customHeight="1" x14ac:dyDescent="0.2">
      <c r="A55" s="1068" t="s">
        <v>209</v>
      </c>
      <c r="B55" s="563" t="s">
        <v>120</v>
      </c>
      <c r="C55" s="570" t="s">
        <v>359</v>
      </c>
      <c r="D55" s="571">
        <v>46387</v>
      </c>
      <c r="E55" s="563">
        <v>30</v>
      </c>
      <c r="F55" s="556">
        <v>27</v>
      </c>
      <c r="G55" s="556">
        <f t="shared" ref="G55" si="10">E55*F55</f>
        <v>810</v>
      </c>
      <c r="H55" s="563" t="s">
        <v>74</v>
      </c>
      <c r="I55" s="567" t="s">
        <v>27</v>
      </c>
    </row>
    <row r="56" spans="1:18" s="442" customFormat="1" ht="15.95" customHeight="1" x14ac:dyDescent="0.2">
      <c r="A56" s="1054">
        <v>10570040</v>
      </c>
      <c r="B56" s="540" t="s">
        <v>108</v>
      </c>
      <c r="C56" s="543" t="s">
        <v>534</v>
      </c>
      <c r="D56" s="544">
        <v>46418</v>
      </c>
      <c r="E56" s="540">
        <v>30</v>
      </c>
      <c r="F56" s="541">
        <f>225+70</f>
        <v>295</v>
      </c>
      <c r="G56" s="541">
        <f t="shared" si="9"/>
        <v>8850</v>
      </c>
      <c r="H56" s="562" t="s">
        <v>74</v>
      </c>
      <c r="I56" s="580" t="s">
        <v>27</v>
      </c>
    </row>
    <row r="57" spans="1:18" s="442" customFormat="1" ht="15.95" customHeight="1" x14ac:dyDescent="0.2">
      <c r="A57" s="1054">
        <v>10570040</v>
      </c>
      <c r="B57" s="540" t="s">
        <v>108</v>
      </c>
      <c r="C57" s="543" t="s">
        <v>362</v>
      </c>
      <c r="D57" s="544">
        <v>46418</v>
      </c>
      <c r="E57" s="540">
        <v>30</v>
      </c>
      <c r="F57" s="541">
        <v>8</v>
      </c>
      <c r="G57" s="541">
        <f t="shared" ref="G57" si="11">E57*F57</f>
        <v>240</v>
      </c>
      <c r="H57" s="562" t="s">
        <v>74</v>
      </c>
      <c r="I57" s="580" t="s">
        <v>27</v>
      </c>
    </row>
    <row r="58" spans="1:18" s="442" customFormat="1" ht="15.95" customHeight="1" x14ac:dyDescent="0.2">
      <c r="A58" s="574">
        <v>10570050</v>
      </c>
      <c r="B58" s="530" t="s">
        <v>71</v>
      </c>
      <c r="C58" s="533" t="s">
        <v>535</v>
      </c>
      <c r="D58" s="534">
        <v>46721</v>
      </c>
      <c r="E58" s="530">
        <v>30</v>
      </c>
      <c r="F58" s="531">
        <f>334+108</f>
        <v>442</v>
      </c>
      <c r="G58" s="531">
        <f t="shared" si="9"/>
        <v>13260</v>
      </c>
      <c r="H58" s="563" t="s">
        <v>74</v>
      </c>
      <c r="I58" s="532" t="s">
        <v>27</v>
      </c>
    </row>
    <row r="59" spans="1:18" s="442" customFormat="1" ht="15.95" customHeight="1" x14ac:dyDescent="0.2">
      <c r="A59" s="574">
        <v>10570050</v>
      </c>
      <c r="B59" s="530" t="s">
        <v>71</v>
      </c>
      <c r="C59" s="533" t="s">
        <v>548</v>
      </c>
      <c r="D59" s="534">
        <v>46843</v>
      </c>
      <c r="E59" s="530">
        <v>30</v>
      </c>
      <c r="F59" s="531">
        <v>8</v>
      </c>
      <c r="G59" s="531">
        <f t="shared" ref="G59" si="12">E59*F59</f>
        <v>240</v>
      </c>
      <c r="H59" s="563" t="s">
        <v>74</v>
      </c>
      <c r="I59" s="532" t="s">
        <v>27</v>
      </c>
    </row>
    <row r="60" spans="1:18" s="442" customFormat="1" ht="15.95" customHeight="1" x14ac:dyDescent="0.2">
      <c r="A60" s="574">
        <v>10570050</v>
      </c>
      <c r="B60" s="530" t="s">
        <v>71</v>
      </c>
      <c r="C60" s="533" t="s">
        <v>684</v>
      </c>
      <c r="D60" s="534">
        <v>46326</v>
      </c>
      <c r="E60" s="530">
        <v>30</v>
      </c>
      <c r="F60" s="531">
        <v>120</v>
      </c>
      <c r="G60" s="531">
        <f t="shared" ref="G60" si="13">E60*F60</f>
        <v>3600</v>
      </c>
      <c r="H60" s="563" t="s">
        <v>74</v>
      </c>
      <c r="I60" s="532" t="s">
        <v>27</v>
      </c>
    </row>
    <row r="61" spans="1:18" s="6" customFormat="1" ht="15.95" customHeight="1" x14ac:dyDescent="0.25">
      <c r="A61" s="1055" t="s">
        <v>143</v>
      </c>
      <c r="B61" s="562" t="s">
        <v>106</v>
      </c>
      <c r="C61" s="576" t="s">
        <v>538</v>
      </c>
      <c r="D61" s="577">
        <v>46721</v>
      </c>
      <c r="E61" s="562">
        <v>30</v>
      </c>
      <c r="F61" s="578">
        <v>38</v>
      </c>
      <c r="G61" s="578">
        <f t="shared" ref="G61:G66" si="14">E61*F61</f>
        <v>1140</v>
      </c>
      <c r="H61" s="562" t="s">
        <v>74</v>
      </c>
      <c r="I61" s="579" t="s">
        <v>27</v>
      </c>
    </row>
    <row r="62" spans="1:18" ht="15.95" customHeight="1" x14ac:dyDescent="0.25">
      <c r="A62" s="574">
        <v>10570130</v>
      </c>
      <c r="B62" s="568" t="s">
        <v>101</v>
      </c>
      <c r="C62" s="533">
        <v>80324</v>
      </c>
      <c r="D62" s="534">
        <v>46446</v>
      </c>
      <c r="E62" s="530">
        <v>100</v>
      </c>
      <c r="F62" s="531">
        <v>10</v>
      </c>
      <c r="G62" s="531">
        <f t="shared" si="14"/>
        <v>1000</v>
      </c>
      <c r="H62" s="563" t="s">
        <v>74</v>
      </c>
      <c r="I62" s="567" t="s">
        <v>27</v>
      </c>
      <c r="J62" s="80"/>
      <c r="K62" s="80"/>
      <c r="L62" s="80"/>
      <c r="M62" s="80"/>
      <c r="N62" s="80"/>
      <c r="O62" s="80"/>
      <c r="P62" s="80"/>
      <c r="Q62" s="80"/>
      <c r="R62" s="80"/>
    </row>
    <row r="63" spans="1:18" ht="15.95" customHeight="1" x14ac:dyDescent="0.25">
      <c r="A63" s="574">
        <v>10570030</v>
      </c>
      <c r="B63" s="568" t="s">
        <v>101</v>
      </c>
      <c r="C63" s="533">
        <v>20825</v>
      </c>
      <c r="D63" s="534">
        <v>46965</v>
      </c>
      <c r="E63" s="530">
        <v>100</v>
      </c>
      <c r="F63" s="531">
        <v>4200</v>
      </c>
      <c r="G63" s="531">
        <f t="shared" si="14"/>
        <v>420000</v>
      </c>
      <c r="H63" s="563" t="s">
        <v>74</v>
      </c>
      <c r="I63" s="567" t="s">
        <v>27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ht="15.95" customHeight="1" x14ac:dyDescent="0.25">
      <c r="A64" s="1056">
        <v>40240100</v>
      </c>
      <c r="B64" s="581" t="s">
        <v>29</v>
      </c>
      <c r="C64" s="576" t="s">
        <v>549</v>
      </c>
      <c r="D64" s="539">
        <v>46418</v>
      </c>
      <c r="E64" s="581">
        <v>25</v>
      </c>
      <c r="F64" s="582">
        <f>3330+1100</f>
        <v>4430</v>
      </c>
      <c r="G64" s="582">
        <f t="shared" si="14"/>
        <v>110750</v>
      </c>
      <c r="H64" s="581" t="s">
        <v>74</v>
      </c>
      <c r="I64" s="542" t="s">
        <v>176</v>
      </c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5.95" customHeight="1" x14ac:dyDescent="0.25">
      <c r="A65" s="1056">
        <v>40240100</v>
      </c>
      <c r="B65" s="581" t="s">
        <v>29</v>
      </c>
      <c r="C65" s="576" t="s">
        <v>541</v>
      </c>
      <c r="D65" s="539">
        <v>46507</v>
      </c>
      <c r="E65" s="581">
        <v>25</v>
      </c>
      <c r="F65" s="582">
        <v>2500</v>
      </c>
      <c r="G65" s="582">
        <f t="shared" si="14"/>
        <v>62500</v>
      </c>
      <c r="H65" s="581" t="s">
        <v>74</v>
      </c>
      <c r="I65" s="542" t="s">
        <v>176</v>
      </c>
      <c r="J65" s="80"/>
      <c r="K65" s="80"/>
      <c r="L65" s="80"/>
      <c r="M65" s="80"/>
      <c r="N65" s="80"/>
      <c r="O65" s="80"/>
      <c r="P65" s="80"/>
      <c r="Q65" s="80"/>
      <c r="R65" s="80"/>
    </row>
    <row r="66" spans="1:18" ht="15.95" customHeight="1" x14ac:dyDescent="0.25">
      <c r="A66" s="1056">
        <v>40240100</v>
      </c>
      <c r="B66" s="581" t="s">
        <v>29</v>
      </c>
      <c r="C66" s="576" t="s">
        <v>542</v>
      </c>
      <c r="D66" s="539">
        <v>46418</v>
      </c>
      <c r="E66" s="581">
        <v>25</v>
      </c>
      <c r="F66" s="582">
        <v>500</v>
      </c>
      <c r="G66" s="582">
        <f t="shared" si="14"/>
        <v>12500</v>
      </c>
      <c r="H66" s="581" t="s">
        <v>74</v>
      </c>
      <c r="I66" s="542" t="s">
        <v>176</v>
      </c>
      <c r="J66" s="80"/>
      <c r="K66" s="80"/>
      <c r="L66" s="80"/>
      <c r="M66" s="80"/>
      <c r="N66" s="80"/>
      <c r="O66" s="80"/>
      <c r="P66" s="80"/>
      <c r="Q66" s="80"/>
      <c r="R66" s="80"/>
    </row>
    <row r="67" spans="1:18" s="1067" customFormat="1" ht="15.95" customHeight="1" x14ac:dyDescent="0.25">
      <c r="A67" s="1069"/>
      <c r="B67" s="1070"/>
      <c r="C67" s="1060"/>
      <c r="D67" s="1071"/>
      <c r="E67" s="1070"/>
      <c r="F67" s="1072"/>
      <c r="G67" s="1072"/>
      <c r="H67" s="1070"/>
      <c r="I67" s="1073"/>
      <c r="J67" s="1066"/>
      <c r="K67" s="1066"/>
      <c r="L67" s="1066"/>
      <c r="M67" s="1066"/>
      <c r="N67" s="1066"/>
      <c r="O67" s="1066"/>
      <c r="P67" s="1066"/>
      <c r="Q67" s="1066"/>
      <c r="R67" s="1066"/>
    </row>
    <row r="68" spans="1:18" s="442" customFormat="1" ht="15.95" customHeight="1" x14ac:dyDescent="0.2">
      <c r="A68" s="1057" t="s">
        <v>81</v>
      </c>
      <c r="B68" s="584"/>
      <c r="C68" s="585"/>
      <c r="D68" s="586"/>
      <c r="E68" s="584"/>
      <c r="F68" s="587"/>
      <c r="G68" s="587"/>
      <c r="H68" s="584"/>
      <c r="I68" s="588"/>
    </row>
    <row r="69" spans="1:18" s="442" customFormat="1" ht="15.95" customHeight="1" x14ac:dyDescent="0.2">
      <c r="A69" s="1055">
        <v>10570030</v>
      </c>
      <c r="B69" s="562" t="s">
        <v>120</v>
      </c>
      <c r="C69" s="576" t="s">
        <v>361</v>
      </c>
      <c r="D69" s="577" t="s">
        <v>344</v>
      </c>
      <c r="E69" s="562">
        <v>30</v>
      </c>
      <c r="F69" s="578">
        <v>48</v>
      </c>
      <c r="G69" s="578">
        <f t="shared" ref="G69:G75" si="15">E69*F69</f>
        <v>1440</v>
      </c>
      <c r="H69" s="562" t="s">
        <v>74</v>
      </c>
      <c r="I69" s="579" t="s">
        <v>28</v>
      </c>
    </row>
    <row r="70" spans="1:18" s="442" customFormat="1" ht="15.95" customHeight="1" x14ac:dyDescent="0.2">
      <c r="A70" s="1055">
        <v>10570030</v>
      </c>
      <c r="B70" s="562" t="s">
        <v>120</v>
      </c>
      <c r="C70" s="576" t="s">
        <v>661</v>
      </c>
      <c r="D70" s="577">
        <v>46843</v>
      </c>
      <c r="E70" s="562">
        <v>30</v>
      </c>
      <c r="F70" s="578">
        <f>120+120</f>
        <v>240</v>
      </c>
      <c r="G70" s="578">
        <f t="shared" si="15"/>
        <v>7200</v>
      </c>
      <c r="H70" s="562" t="s">
        <v>74</v>
      </c>
      <c r="I70" s="579" t="s">
        <v>28</v>
      </c>
    </row>
    <row r="71" spans="1:18" s="145" customFormat="1" ht="15.95" customHeight="1" x14ac:dyDescent="0.2">
      <c r="A71" s="574">
        <v>10570040</v>
      </c>
      <c r="B71" s="530" t="s">
        <v>108</v>
      </c>
      <c r="C71" s="607" t="s">
        <v>550</v>
      </c>
      <c r="D71" s="534" t="s">
        <v>360</v>
      </c>
      <c r="E71" s="530">
        <v>30</v>
      </c>
      <c r="F71" s="531">
        <v>0</v>
      </c>
      <c r="G71" s="531">
        <f t="shared" si="15"/>
        <v>0</v>
      </c>
      <c r="H71" s="563" t="s">
        <v>74</v>
      </c>
      <c r="I71" s="567" t="s">
        <v>28</v>
      </c>
    </row>
    <row r="72" spans="1:18" s="145" customFormat="1" ht="15.95" customHeight="1" x14ac:dyDescent="0.2">
      <c r="A72" s="574">
        <v>10570040</v>
      </c>
      <c r="B72" s="530" t="s">
        <v>108</v>
      </c>
      <c r="C72" s="607" t="s">
        <v>548</v>
      </c>
      <c r="D72" s="534">
        <v>46843</v>
      </c>
      <c r="E72" s="530">
        <v>30</v>
      </c>
      <c r="F72" s="531">
        <f>120+120</f>
        <v>240</v>
      </c>
      <c r="G72" s="531">
        <f t="shared" si="15"/>
        <v>7200</v>
      </c>
      <c r="H72" s="563" t="s">
        <v>74</v>
      </c>
      <c r="I72" s="567" t="s">
        <v>28</v>
      </c>
    </row>
    <row r="73" spans="1:18" s="145" customFormat="1" ht="15.95" customHeight="1" x14ac:dyDescent="0.2">
      <c r="A73" s="574">
        <v>10570040</v>
      </c>
      <c r="B73" s="530" t="s">
        <v>108</v>
      </c>
      <c r="C73" s="607" t="s">
        <v>547</v>
      </c>
      <c r="D73" s="534" t="s">
        <v>543</v>
      </c>
      <c r="E73" s="530">
        <v>30</v>
      </c>
      <c r="F73" s="531">
        <v>0</v>
      </c>
      <c r="G73" s="531">
        <f t="shared" ref="G73" si="16">E73*F73</f>
        <v>0</v>
      </c>
      <c r="H73" s="563" t="s">
        <v>74</v>
      </c>
      <c r="I73" s="567" t="s">
        <v>28</v>
      </c>
    </row>
    <row r="74" spans="1:18" s="145" customFormat="1" ht="15.95" customHeight="1" x14ac:dyDescent="0.2">
      <c r="A74" s="1054">
        <v>10570050</v>
      </c>
      <c r="B74" s="540" t="s">
        <v>71</v>
      </c>
      <c r="C74" s="1074" t="s">
        <v>366</v>
      </c>
      <c r="D74" s="544" t="s">
        <v>360</v>
      </c>
      <c r="E74" s="540">
        <v>30</v>
      </c>
      <c r="F74" s="541">
        <v>400</v>
      </c>
      <c r="G74" s="541">
        <f t="shared" si="15"/>
        <v>12000</v>
      </c>
      <c r="H74" s="562" t="s">
        <v>74</v>
      </c>
      <c r="I74" s="542" t="s">
        <v>28</v>
      </c>
    </row>
    <row r="75" spans="1:18" s="145" customFormat="1" ht="15.95" customHeight="1" x14ac:dyDescent="0.2">
      <c r="A75" s="1054">
        <v>10570050</v>
      </c>
      <c r="B75" s="540" t="s">
        <v>71</v>
      </c>
      <c r="C75" s="1074" t="s">
        <v>685</v>
      </c>
      <c r="D75" s="544">
        <v>46721</v>
      </c>
      <c r="E75" s="540">
        <v>30</v>
      </c>
      <c r="F75" s="541">
        <v>24</v>
      </c>
      <c r="G75" s="541">
        <f t="shared" si="15"/>
        <v>720</v>
      </c>
      <c r="H75" s="562" t="s">
        <v>74</v>
      </c>
      <c r="I75" s="542" t="s">
        <v>28</v>
      </c>
    </row>
    <row r="76" spans="1:18" s="145" customFormat="1" ht="15.95" customHeight="1" x14ac:dyDescent="0.2">
      <c r="A76" s="1054">
        <v>10570050</v>
      </c>
      <c r="B76" s="540" t="s">
        <v>71</v>
      </c>
      <c r="C76" s="1074" t="s">
        <v>548</v>
      </c>
      <c r="D76" s="544">
        <v>46843</v>
      </c>
      <c r="E76" s="540">
        <v>30</v>
      </c>
      <c r="F76" s="541">
        <f>120+96</f>
        <v>216</v>
      </c>
      <c r="G76" s="541">
        <f t="shared" ref="G76" si="17">E76*F76</f>
        <v>6480</v>
      </c>
      <c r="H76" s="562" t="s">
        <v>74</v>
      </c>
      <c r="I76" s="542" t="s">
        <v>28</v>
      </c>
    </row>
    <row r="77" spans="1:18" s="145" customFormat="1" ht="15.95" customHeight="1" x14ac:dyDescent="0.2">
      <c r="A77" s="573" t="s">
        <v>143</v>
      </c>
      <c r="B77" s="563" t="s">
        <v>106</v>
      </c>
      <c r="C77" s="607" t="s">
        <v>364</v>
      </c>
      <c r="D77" s="534">
        <v>46387</v>
      </c>
      <c r="E77" s="563">
        <v>30</v>
      </c>
      <c r="F77" s="556">
        <v>100</v>
      </c>
      <c r="G77" s="556">
        <f t="shared" ref="G77:G91" si="18">E77*F77</f>
        <v>3000</v>
      </c>
      <c r="H77" s="563" t="s">
        <v>74</v>
      </c>
      <c r="I77" s="572" t="s">
        <v>28</v>
      </c>
    </row>
    <row r="78" spans="1:18" s="145" customFormat="1" ht="15.95" customHeight="1" x14ac:dyDescent="0.2">
      <c r="A78" s="573" t="s">
        <v>143</v>
      </c>
      <c r="B78" s="563" t="s">
        <v>106</v>
      </c>
      <c r="C78" s="607" t="s">
        <v>361</v>
      </c>
      <c r="D78" s="534">
        <v>46571</v>
      </c>
      <c r="E78" s="563">
        <v>30</v>
      </c>
      <c r="F78" s="556">
        <v>35</v>
      </c>
      <c r="G78" s="556">
        <f t="shared" ref="G78:G79" si="19">E78*F78</f>
        <v>1050</v>
      </c>
      <c r="H78" s="563" t="s">
        <v>74</v>
      </c>
      <c r="I78" s="572" t="s">
        <v>28</v>
      </c>
    </row>
    <row r="79" spans="1:18" s="145" customFormat="1" ht="15.95" customHeight="1" x14ac:dyDescent="0.2">
      <c r="A79" s="573" t="s">
        <v>143</v>
      </c>
      <c r="B79" s="563" t="s">
        <v>106</v>
      </c>
      <c r="C79" s="607" t="s">
        <v>665</v>
      </c>
      <c r="D79" s="534">
        <v>46507</v>
      </c>
      <c r="E79" s="563">
        <v>30</v>
      </c>
      <c r="F79" s="556">
        <v>24</v>
      </c>
      <c r="G79" s="556">
        <f t="shared" si="19"/>
        <v>720</v>
      </c>
      <c r="H79" s="563" t="s">
        <v>74</v>
      </c>
      <c r="I79" s="572" t="s">
        <v>28</v>
      </c>
    </row>
    <row r="80" spans="1:18" s="145" customFormat="1" ht="15.95" customHeight="1" x14ac:dyDescent="0.2">
      <c r="A80" s="573" t="s">
        <v>143</v>
      </c>
      <c r="B80" s="563" t="s">
        <v>106</v>
      </c>
      <c r="C80" s="607" t="s">
        <v>547</v>
      </c>
      <c r="D80" s="534">
        <v>46507</v>
      </c>
      <c r="E80" s="563">
        <v>30</v>
      </c>
      <c r="F80" s="556">
        <v>24</v>
      </c>
      <c r="G80" s="556">
        <f t="shared" ref="G80" si="20">E80*F80</f>
        <v>720</v>
      </c>
      <c r="H80" s="563" t="s">
        <v>74</v>
      </c>
      <c r="I80" s="572" t="s">
        <v>28</v>
      </c>
    </row>
    <row r="81" spans="1:9" s="145" customFormat="1" ht="15.95" customHeight="1" x14ac:dyDescent="0.2">
      <c r="A81" s="573" t="s">
        <v>143</v>
      </c>
      <c r="B81" s="563" t="s">
        <v>106</v>
      </c>
      <c r="C81" s="607" t="s">
        <v>686</v>
      </c>
      <c r="D81" s="534">
        <v>46203</v>
      </c>
      <c r="E81" s="563">
        <v>30</v>
      </c>
      <c r="F81" s="556">
        <v>22</v>
      </c>
      <c r="G81" s="556">
        <f t="shared" ref="G81" si="21">E81*F81</f>
        <v>660</v>
      </c>
      <c r="H81" s="563" t="s">
        <v>74</v>
      </c>
      <c r="I81" s="572" t="s">
        <v>28</v>
      </c>
    </row>
    <row r="82" spans="1:9" s="145" customFormat="1" ht="15.95" customHeight="1" x14ac:dyDescent="0.2">
      <c r="A82" s="573" t="s">
        <v>143</v>
      </c>
      <c r="B82" s="563" t="s">
        <v>106</v>
      </c>
      <c r="C82" s="607" t="s">
        <v>687</v>
      </c>
      <c r="D82" s="534">
        <v>46203</v>
      </c>
      <c r="E82" s="563">
        <v>30</v>
      </c>
      <c r="F82" s="556">
        <v>10</v>
      </c>
      <c r="G82" s="556">
        <f t="shared" ref="G82:G83" si="22">E82*F82</f>
        <v>300</v>
      </c>
      <c r="H82" s="563" t="s">
        <v>74</v>
      </c>
      <c r="I82" s="572" t="s">
        <v>28</v>
      </c>
    </row>
    <row r="83" spans="1:9" s="145" customFormat="1" ht="15.95" customHeight="1" x14ac:dyDescent="0.2">
      <c r="A83" s="573" t="s">
        <v>143</v>
      </c>
      <c r="B83" s="563" t="s">
        <v>106</v>
      </c>
      <c r="C83" s="607" t="s">
        <v>688</v>
      </c>
      <c r="D83" s="534">
        <v>46142</v>
      </c>
      <c r="E83" s="563">
        <v>30</v>
      </c>
      <c r="F83" s="556">
        <v>2</v>
      </c>
      <c r="G83" s="556">
        <f t="shared" si="22"/>
        <v>60</v>
      </c>
      <c r="H83" s="563" t="s">
        <v>74</v>
      </c>
      <c r="I83" s="572" t="s">
        <v>28</v>
      </c>
    </row>
    <row r="84" spans="1:9" s="145" customFormat="1" ht="15.95" customHeight="1" x14ac:dyDescent="0.2">
      <c r="A84" s="573" t="s">
        <v>143</v>
      </c>
      <c r="B84" s="563" t="s">
        <v>106</v>
      </c>
      <c r="C84" s="607" t="s">
        <v>464</v>
      </c>
      <c r="D84" s="534">
        <v>46142</v>
      </c>
      <c r="E84" s="563">
        <v>30</v>
      </c>
      <c r="F84" s="556">
        <v>3</v>
      </c>
      <c r="G84" s="556">
        <f t="shared" ref="G84" si="23">E84*F84</f>
        <v>90</v>
      </c>
      <c r="H84" s="563" t="s">
        <v>74</v>
      </c>
      <c r="I84" s="572" t="s">
        <v>28</v>
      </c>
    </row>
    <row r="85" spans="1:9" s="145" customFormat="1" ht="15.95" customHeight="1" x14ac:dyDescent="0.2">
      <c r="A85" s="573" t="s">
        <v>143</v>
      </c>
      <c r="B85" s="563" t="s">
        <v>106</v>
      </c>
      <c r="C85" s="607" t="s">
        <v>548</v>
      </c>
      <c r="D85" s="534">
        <v>46843</v>
      </c>
      <c r="E85" s="563">
        <v>30</v>
      </c>
      <c r="F85" s="556">
        <v>120</v>
      </c>
      <c r="G85" s="556">
        <f t="shared" ref="G85" si="24">E85*F85</f>
        <v>3600</v>
      </c>
      <c r="H85" s="563" t="s">
        <v>74</v>
      </c>
      <c r="I85" s="572" t="s">
        <v>28</v>
      </c>
    </row>
    <row r="86" spans="1:9" s="145" customFormat="1" ht="15.95" customHeight="1" x14ac:dyDescent="0.2">
      <c r="A86" s="1054">
        <v>10570130</v>
      </c>
      <c r="B86" s="581" t="s">
        <v>101</v>
      </c>
      <c r="C86" s="543" t="s">
        <v>669</v>
      </c>
      <c r="D86" s="544">
        <v>46783</v>
      </c>
      <c r="E86" s="540">
        <v>100</v>
      </c>
      <c r="F86" s="541">
        <v>10000</v>
      </c>
      <c r="G86" s="541">
        <f t="shared" si="18"/>
        <v>1000000</v>
      </c>
      <c r="H86" s="562" t="s">
        <v>74</v>
      </c>
      <c r="I86" s="580" t="s">
        <v>28</v>
      </c>
    </row>
    <row r="87" spans="1:9" s="145" customFormat="1" ht="15.95" customHeight="1" x14ac:dyDescent="0.2">
      <c r="A87" s="1054">
        <v>10570130</v>
      </c>
      <c r="B87" s="581" t="s">
        <v>101</v>
      </c>
      <c r="C87" s="543">
        <v>50324</v>
      </c>
      <c r="D87" s="544" t="s">
        <v>343</v>
      </c>
      <c r="E87" s="540">
        <v>100</v>
      </c>
      <c r="F87" s="541">
        <v>0</v>
      </c>
      <c r="G87" s="541">
        <f t="shared" si="18"/>
        <v>0</v>
      </c>
      <c r="H87" s="562" t="s">
        <v>74</v>
      </c>
      <c r="I87" s="580" t="s">
        <v>28</v>
      </c>
    </row>
    <row r="88" spans="1:9" s="145" customFormat="1" ht="15.95" customHeight="1" x14ac:dyDescent="0.2">
      <c r="A88" s="1054">
        <v>10570130</v>
      </c>
      <c r="B88" s="581" t="s">
        <v>101</v>
      </c>
      <c r="C88" s="543" t="s">
        <v>365</v>
      </c>
      <c r="D88" s="544" t="s">
        <v>343</v>
      </c>
      <c r="E88" s="540">
        <v>100</v>
      </c>
      <c r="F88" s="541">
        <v>0</v>
      </c>
      <c r="G88" s="541">
        <f t="shared" si="18"/>
        <v>0</v>
      </c>
      <c r="H88" s="562" t="s">
        <v>74</v>
      </c>
      <c r="I88" s="580" t="s">
        <v>28</v>
      </c>
    </row>
    <row r="89" spans="1:9" s="145" customFormat="1" ht="15.95" customHeight="1" x14ac:dyDescent="0.2">
      <c r="A89" s="575">
        <v>40240100</v>
      </c>
      <c r="B89" s="568" t="s">
        <v>29</v>
      </c>
      <c r="C89" s="570" t="s">
        <v>551</v>
      </c>
      <c r="D89" s="529" t="s">
        <v>344</v>
      </c>
      <c r="E89" s="568">
        <v>25</v>
      </c>
      <c r="F89" s="569">
        <v>9900</v>
      </c>
      <c r="G89" s="569">
        <f t="shared" si="18"/>
        <v>247500</v>
      </c>
      <c r="H89" s="568" t="s">
        <v>74</v>
      </c>
      <c r="I89" s="532" t="s">
        <v>28</v>
      </c>
    </row>
    <row r="90" spans="1:9" s="145" customFormat="1" ht="15.95" customHeight="1" x14ac:dyDescent="0.2">
      <c r="A90" s="575">
        <v>40240100</v>
      </c>
      <c r="B90" s="568" t="s">
        <v>29</v>
      </c>
      <c r="C90" s="570" t="s">
        <v>466</v>
      </c>
      <c r="D90" s="529" t="s">
        <v>319</v>
      </c>
      <c r="E90" s="568">
        <v>25</v>
      </c>
      <c r="F90" s="569">
        <v>54</v>
      </c>
      <c r="G90" s="569">
        <f t="shared" ref="G90" si="25">E90*F90</f>
        <v>1350</v>
      </c>
      <c r="H90" s="568" t="s">
        <v>74</v>
      </c>
      <c r="I90" s="532" t="s">
        <v>28</v>
      </c>
    </row>
    <row r="91" spans="1:9" s="145" customFormat="1" ht="15.95" customHeight="1" x14ac:dyDescent="0.2">
      <c r="A91" s="575">
        <v>40240100</v>
      </c>
      <c r="B91" s="568" t="s">
        <v>29</v>
      </c>
      <c r="C91" s="570" t="s">
        <v>549</v>
      </c>
      <c r="D91" s="529" t="s">
        <v>343</v>
      </c>
      <c r="E91" s="568">
        <v>25</v>
      </c>
      <c r="F91" s="569">
        <v>200</v>
      </c>
      <c r="G91" s="569">
        <f t="shared" si="18"/>
        <v>5000</v>
      </c>
      <c r="H91" s="568" t="s">
        <v>74</v>
      </c>
      <c r="I91" s="532" t="s">
        <v>28</v>
      </c>
    </row>
    <row r="92" spans="1:9" s="1076" customFormat="1" ht="15.95" customHeight="1" x14ac:dyDescent="0.2">
      <c r="A92" s="1069"/>
      <c r="B92" s="1070"/>
      <c r="C92" s="1060"/>
      <c r="D92" s="1071"/>
      <c r="E92" s="1070"/>
      <c r="F92" s="1072"/>
      <c r="G92" s="1075"/>
      <c r="H92" s="1073"/>
      <c r="I92" s="1073"/>
    </row>
    <row r="93" spans="1:9" s="145" customFormat="1" ht="15.95" customHeight="1" x14ac:dyDescent="0.2">
      <c r="A93" s="583" t="s">
        <v>79</v>
      </c>
      <c r="B93" s="593"/>
      <c r="C93" s="594"/>
      <c r="D93" s="594"/>
      <c r="E93" s="595"/>
      <c r="F93" s="596"/>
      <c r="G93" s="597"/>
      <c r="H93" s="598"/>
      <c r="I93" s="598"/>
    </row>
    <row r="94" spans="1:9" ht="15.95" customHeight="1" x14ac:dyDescent="0.25">
      <c r="A94" s="1077">
        <v>10570030</v>
      </c>
      <c r="B94" s="1078" t="s">
        <v>120</v>
      </c>
      <c r="C94" s="1079" t="s">
        <v>661</v>
      </c>
      <c r="D94" s="1080">
        <v>46813</v>
      </c>
      <c r="E94" s="1081">
        <v>30</v>
      </c>
      <c r="F94" s="1082">
        <v>58</v>
      </c>
      <c r="G94" s="1083">
        <f t="shared" ref="G94:G99" si="26">E94*F94</f>
        <v>1740</v>
      </c>
      <c r="H94" s="581" t="s">
        <v>74</v>
      </c>
      <c r="I94" s="542" t="s">
        <v>80</v>
      </c>
    </row>
    <row r="95" spans="1:9" ht="15.95" customHeight="1" x14ac:dyDescent="0.25">
      <c r="A95" s="1077">
        <v>10570030</v>
      </c>
      <c r="B95" s="1078" t="s">
        <v>120</v>
      </c>
      <c r="C95" s="1079" t="s">
        <v>359</v>
      </c>
      <c r="D95" s="1080">
        <v>46357</v>
      </c>
      <c r="E95" s="1081">
        <v>30</v>
      </c>
      <c r="F95" s="1082">
        <v>148</v>
      </c>
      <c r="G95" s="1083">
        <f t="shared" si="26"/>
        <v>4440</v>
      </c>
      <c r="H95" s="581" t="s">
        <v>74</v>
      </c>
      <c r="I95" s="542" t="s">
        <v>80</v>
      </c>
    </row>
    <row r="96" spans="1:9" ht="15.95" customHeight="1" x14ac:dyDescent="0.25">
      <c r="A96" s="1077">
        <v>10570030</v>
      </c>
      <c r="B96" s="1078" t="s">
        <v>120</v>
      </c>
      <c r="C96" s="1079" t="s">
        <v>359</v>
      </c>
      <c r="D96" s="1080">
        <v>46357</v>
      </c>
      <c r="E96" s="1081">
        <v>30</v>
      </c>
      <c r="F96" s="1082">
        <v>24</v>
      </c>
      <c r="G96" s="1083">
        <f t="shared" si="26"/>
        <v>720</v>
      </c>
      <c r="H96" s="581" t="s">
        <v>74</v>
      </c>
      <c r="I96" s="542" t="s">
        <v>80</v>
      </c>
    </row>
    <row r="97" spans="1:9" ht="15.95" customHeight="1" x14ac:dyDescent="0.25">
      <c r="A97" s="608">
        <v>10570040</v>
      </c>
      <c r="B97" s="601" t="s">
        <v>108</v>
      </c>
      <c r="C97" s="602" t="s">
        <v>362</v>
      </c>
      <c r="D97" s="880">
        <v>46388</v>
      </c>
      <c r="E97" s="603">
        <v>30</v>
      </c>
      <c r="F97" s="604">
        <v>37</v>
      </c>
      <c r="G97" s="605">
        <f t="shared" si="26"/>
        <v>1110</v>
      </c>
      <c r="H97" s="606" t="s">
        <v>74</v>
      </c>
      <c r="I97" s="536" t="s">
        <v>80</v>
      </c>
    </row>
    <row r="98" spans="1:9" ht="15.95" customHeight="1" x14ac:dyDescent="0.25">
      <c r="A98" s="608">
        <v>10570040</v>
      </c>
      <c r="B98" s="601" t="s">
        <v>108</v>
      </c>
      <c r="C98" s="602" t="s">
        <v>661</v>
      </c>
      <c r="D98" s="880">
        <v>46813</v>
      </c>
      <c r="E98" s="603">
        <v>30</v>
      </c>
      <c r="F98" s="604">
        <v>84</v>
      </c>
      <c r="G98" s="605">
        <f t="shared" si="26"/>
        <v>2520</v>
      </c>
      <c r="H98" s="606" t="s">
        <v>74</v>
      </c>
      <c r="I98" s="536" t="s">
        <v>80</v>
      </c>
    </row>
    <row r="99" spans="1:9" ht="15.95" customHeight="1" x14ac:dyDescent="0.25">
      <c r="A99" s="1077">
        <v>10570050</v>
      </c>
      <c r="B99" s="1078" t="s">
        <v>71</v>
      </c>
      <c r="C99" s="1079" t="s">
        <v>662</v>
      </c>
      <c r="D99" s="1080">
        <v>46692</v>
      </c>
      <c r="E99" s="1081">
        <v>30</v>
      </c>
      <c r="F99" s="1082">
        <v>184</v>
      </c>
      <c r="G99" s="1083">
        <f t="shared" si="26"/>
        <v>5520</v>
      </c>
      <c r="H99" s="581" t="s">
        <v>74</v>
      </c>
      <c r="I99" s="542" t="s">
        <v>80</v>
      </c>
    </row>
    <row r="100" spans="1:9" ht="15.95" customHeight="1" x14ac:dyDescent="0.25">
      <c r="A100" s="1077">
        <v>10570050</v>
      </c>
      <c r="B100" s="1078" t="s">
        <v>71</v>
      </c>
      <c r="C100" s="1079" t="s">
        <v>662</v>
      </c>
      <c r="D100" s="1080">
        <v>46692</v>
      </c>
      <c r="E100" s="1081">
        <v>30</v>
      </c>
      <c r="F100" s="1082">
        <v>420</v>
      </c>
      <c r="G100" s="1083">
        <f t="shared" ref="G100:G101" si="27">E100*F100</f>
        <v>12600</v>
      </c>
      <c r="H100" s="581" t="s">
        <v>74</v>
      </c>
      <c r="I100" s="542" t="s">
        <v>80</v>
      </c>
    </row>
    <row r="101" spans="1:9" ht="15.95" customHeight="1" x14ac:dyDescent="0.25">
      <c r="A101" s="1077">
        <v>10570050</v>
      </c>
      <c r="B101" s="1078" t="s">
        <v>71</v>
      </c>
      <c r="C101" s="1079" t="s">
        <v>663</v>
      </c>
      <c r="D101" s="1080">
        <v>46296</v>
      </c>
      <c r="E101" s="1081">
        <v>30</v>
      </c>
      <c r="F101" s="1082">
        <v>141</v>
      </c>
      <c r="G101" s="1083">
        <f t="shared" si="27"/>
        <v>4230</v>
      </c>
      <c r="H101" s="581" t="s">
        <v>74</v>
      </c>
      <c r="I101" s="542" t="s">
        <v>80</v>
      </c>
    </row>
    <row r="102" spans="1:9" ht="15.95" customHeight="1" x14ac:dyDescent="0.25">
      <c r="A102" s="608">
        <v>10570060</v>
      </c>
      <c r="B102" s="601" t="s">
        <v>106</v>
      </c>
      <c r="C102" s="602" t="s">
        <v>664</v>
      </c>
      <c r="D102" s="880">
        <v>46692</v>
      </c>
      <c r="E102" s="603">
        <v>30</v>
      </c>
      <c r="F102" s="604">
        <v>88</v>
      </c>
      <c r="G102" s="605">
        <f t="shared" ref="G102:G106" si="28">E102*F102</f>
        <v>2640</v>
      </c>
      <c r="H102" s="606" t="s">
        <v>74</v>
      </c>
      <c r="I102" s="536" t="s">
        <v>80</v>
      </c>
    </row>
    <row r="103" spans="1:9" ht="15.95" customHeight="1" x14ac:dyDescent="0.25">
      <c r="A103" s="608">
        <v>10570060</v>
      </c>
      <c r="B103" s="601" t="s">
        <v>106</v>
      </c>
      <c r="C103" s="602" t="s">
        <v>665</v>
      </c>
      <c r="D103" s="880">
        <v>46478</v>
      </c>
      <c r="E103" s="603">
        <v>30</v>
      </c>
      <c r="F103" s="604">
        <v>420</v>
      </c>
      <c r="G103" s="605">
        <f t="shared" ref="G103" si="29">E103*F103</f>
        <v>12600</v>
      </c>
      <c r="H103" s="606" t="s">
        <v>74</v>
      </c>
      <c r="I103" s="536" t="s">
        <v>80</v>
      </c>
    </row>
    <row r="104" spans="1:9" ht="15.95" customHeight="1" x14ac:dyDescent="0.25">
      <c r="A104" s="609" t="s">
        <v>140</v>
      </c>
      <c r="B104" s="535" t="s">
        <v>141</v>
      </c>
      <c r="C104" s="589">
        <v>90324</v>
      </c>
      <c r="D104" s="537">
        <v>46446</v>
      </c>
      <c r="E104" s="590">
        <v>100</v>
      </c>
      <c r="F104" s="591">
        <v>278</v>
      </c>
      <c r="G104" s="591">
        <f t="shared" si="28"/>
        <v>27800</v>
      </c>
      <c r="H104" s="535" t="s">
        <v>74</v>
      </c>
      <c r="I104" s="592" t="s">
        <v>80</v>
      </c>
    </row>
    <row r="105" spans="1:9" ht="15.95" customHeight="1" x14ac:dyDescent="0.25">
      <c r="A105" s="609" t="s">
        <v>140</v>
      </c>
      <c r="B105" s="535" t="s">
        <v>141</v>
      </c>
      <c r="C105" s="589" t="s">
        <v>666</v>
      </c>
      <c r="D105" s="537">
        <v>46753</v>
      </c>
      <c r="E105" s="590">
        <v>100</v>
      </c>
      <c r="F105" s="591">
        <v>4000</v>
      </c>
      <c r="G105" s="591">
        <f t="shared" ref="G105" si="30">E105*F105</f>
        <v>400000</v>
      </c>
      <c r="H105" s="535" t="s">
        <v>74</v>
      </c>
      <c r="I105" s="592" t="s">
        <v>80</v>
      </c>
    </row>
    <row r="106" spans="1:9" ht="15.95" customHeight="1" x14ac:dyDescent="0.25">
      <c r="A106" s="610">
        <v>40240100</v>
      </c>
      <c r="B106" s="584" t="s">
        <v>29</v>
      </c>
      <c r="C106" s="585" t="s">
        <v>667</v>
      </c>
      <c r="D106" s="586">
        <v>46266</v>
      </c>
      <c r="E106" s="599">
        <v>25</v>
      </c>
      <c r="F106" s="600">
        <v>1042</v>
      </c>
      <c r="G106" s="587">
        <f t="shared" si="28"/>
        <v>26050</v>
      </c>
      <c r="H106" s="584" t="s">
        <v>74</v>
      </c>
      <c r="I106" s="588" t="s">
        <v>80</v>
      </c>
    </row>
    <row r="107" spans="1:9" ht="15.95" customHeight="1" x14ac:dyDescent="0.25">
      <c r="A107" s="610">
        <v>40240100</v>
      </c>
      <c r="B107" s="584" t="s">
        <v>29</v>
      </c>
      <c r="C107" s="585" t="s">
        <v>542</v>
      </c>
      <c r="D107" s="586">
        <v>46388</v>
      </c>
      <c r="E107" s="599">
        <v>25</v>
      </c>
      <c r="F107" s="600">
        <v>1250</v>
      </c>
      <c r="G107" s="587">
        <f t="shared" ref="G107:G114" si="31">E107*F107</f>
        <v>31250</v>
      </c>
      <c r="H107" s="584" t="s">
        <v>74</v>
      </c>
      <c r="I107" s="588" t="s">
        <v>80</v>
      </c>
    </row>
    <row r="108" spans="1:9" ht="15.95" customHeight="1" x14ac:dyDescent="0.25">
      <c r="A108" s="610">
        <v>40240100</v>
      </c>
      <c r="B108" s="584" t="s">
        <v>29</v>
      </c>
      <c r="C108" s="585" t="s">
        <v>542</v>
      </c>
      <c r="D108" s="586">
        <v>46388</v>
      </c>
      <c r="E108" s="599">
        <v>25</v>
      </c>
      <c r="F108" s="600">
        <v>900</v>
      </c>
      <c r="G108" s="587">
        <f t="shared" si="31"/>
        <v>22500</v>
      </c>
      <c r="H108" s="584" t="s">
        <v>74</v>
      </c>
      <c r="I108" s="588" t="s">
        <v>80</v>
      </c>
    </row>
    <row r="109" spans="1:9" ht="15.95" customHeight="1" x14ac:dyDescent="0.25">
      <c r="A109" s="610">
        <v>40240100</v>
      </c>
      <c r="B109" s="584" t="s">
        <v>29</v>
      </c>
      <c r="C109" s="585" t="s">
        <v>549</v>
      </c>
      <c r="D109" s="586">
        <v>46419</v>
      </c>
      <c r="E109" s="599">
        <v>25</v>
      </c>
      <c r="F109" s="600">
        <v>392</v>
      </c>
      <c r="G109" s="587">
        <f t="shared" si="31"/>
        <v>9800</v>
      </c>
      <c r="H109" s="584" t="s">
        <v>74</v>
      </c>
      <c r="I109" s="588" t="s">
        <v>80</v>
      </c>
    </row>
    <row r="110" spans="1:9" ht="15.95" customHeight="1" x14ac:dyDescent="0.25">
      <c r="A110" s="610">
        <v>40240100</v>
      </c>
      <c r="B110" s="584" t="s">
        <v>29</v>
      </c>
      <c r="C110" s="585" t="s">
        <v>549</v>
      </c>
      <c r="D110" s="586">
        <v>46419</v>
      </c>
      <c r="E110" s="599">
        <v>25</v>
      </c>
      <c r="F110" s="600">
        <v>2000</v>
      </c>
      <c r="G110" s="587">
        <f t="shared" si="31"/>
        <v>50000</v>
      </c>
      <c r="H110" s="584" t="s">
        <v>74</v>
      </c>
      <c r="I110" s="588" t="s">
        <v>80</v>
      </c>
    </row>
    <row r="111" spans="1:9" ht="15.95" customHeight="1" x14ac:dyDescent="0.25">
      <c r="A111" s="610">
        <v>40240100</v>
      </c>
      <c r="B111" s="584" t="s">
        <v>29</v>
      </c>
      <c r="C111" s="585" t="s">
        <v>541</v>
      </c>
      <c r="D111" s="586">
        <v>46478</v>
      </c>
      <c r="E111" s="599">
        <v>25</v>
      </c>
      <c r="F111" s="600">
        <v>900</v>
      </c>
      <c r="G111" s="587">
        <f t="shared" si="31"/>
        <v>22500</v>
      </c>
      <c r="H111" s="584" t="s">
        <v>74</v>
      </c>
      <c r="I111" s="588" t="s">
        <v>80</v>
      </c>
    </row>
    <row r="112" spans="1:9" ht="15.95" customHeight="1" x14ac:dyDescent="0.25">
      <c r="A112" s="610">
        <v>40240100</v>
      </c>
      <c r="B112" s="584" t="s">
        <v>29</v>
      </c>
      <c r="C112" s="585" t="s">
        <v>541</v>
      </c>
      <c r="D112" s="586">
        <v>46478</v>
      </c>
      <c r="E112" s="599">
        <v>25</v>
      </c>
      <c r="F112" s="600">
        <v>500</v>
      </c>
      <c r="G112" s="587">
        <f t="shared" si="31"/>
        <v>12500</v>
      </c>
      <c r="H112" s="584" t="s">
        <v>74</v>
      </c>
      <c r="I112" s="588" t="s">
        <v>80</v>
      </c>
    </row>
    <row r="113" spans="1:9" ht="15.95" customHeight="1" x14ac:dyDescent="0.25">
      <c r="A113" s="610">
        <v>40240100</v>
      </c>
      <c r="B113" s="584" t="s">
        <v>29</v>
      </c>
      <c r="C113" s="585" t="s">
        <v>542</v>
      </c>
      <c r="D113" s="586">
        <v>46478</v>
      </c>
      <c r="E113" s="599">
        <v>25</v>
      </c>
      <c r="F113" s="600">
        <v>500</v>
      </c>
      <c r="G113" s="587">
        <f t="shared" si="31"/>
        <v>12500</v>
      </c>
      <c r="H113" s="584" t="s">
        <v>74</v>
      </c>
      <c r="I113" s="588" t="s">
        <v>80</v>
      </c>
    </row>
    <row r="114" spans="1:9" ht="15.95" customHeight="1" x14ac:dyDescent="0.25">
      <c r="A114" s="610">
        <v>40240100</v>
      </c>
      <c r="B114" s="584" t="s">
        <v>29</v>
      </c>
      <c r="C114" s="585" t="s">
        <v>549</v>
      </c>
      <c r="D114" s="586">
        <v>45689</v>
      </c>
      <c r="E114" s="599">
        <v>25</v>
      </c>
      <c r="F114" s="600">
        <v>155</v>
      </c>
      <c r="G114" s="587">
        <f t="shared" si="31"/>
        <v>3875</v>
      </c>
      <c r="H114" s="584" t="s">
        <v>74</v>
      </c>
      <c r="I114" s="588" t="s">
        <v>80</v>
      </c>
    </row>
    <row r="115" spans="1:9" ht="15.95" customHeight="1" x14ac:dyDescent="0.25">
      <c r="A115" s="610">
        <v>40240100</v>
      </c>
      <c r="B115" s="584" t="s">
        <v>29</v>
      </c>
      <c r="C115" s="585" t="s">
        <v>541</v>
      </c>
      <c r="D115" s="586">
        <v>46478</v>
      </c>
      <c r="E115" s="599">
        <v>25</v>
      </c>
      <c r="F115" s="600">
        <v>1600</v>
      </c>
      <c r="G115" s="587">
        <f t="shared" ref="G115" si="32">E115*F115</f>
        <v>40000</v>
      </c>
      <c r="H115" s="584" t="s">
        <v>74</v>
      </c>
      <c r="I115" s="588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H17" sqref="H17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285156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977" t="s">
        <v>412</v>
      </c>
    </row>
    <row r="3" spans="1:13" x14ac:dyDescent="0.25">
      <c r="A3" s="978" t="s">
        <v>514</v>
      </c>
      <c r="F3" s="1103" t="s">
        <v>515</v>
      </c>
      <c r="G3" s="1102"/>
      <c r="H3" s="1102"/>
      <c r="I3" s="1102"/>
    </row>
    <row r="4" spans="1:13" ht="15" customHeight="1" x14ac:dyDescent="0.25">
      <c r="A4" s="1104"/>
      <c r="B4" s="979"/>
      <c r="C4" s="979"/>
      <c r="D4" s="979"/>
      <c r="E4" s="979"/>
      <c r="F4" s="1105"/>
      <c r="G4" s="979"/>
      <c r="H4" s="979"/>
      <c r="I4" s="979"/>
    </row>
    <row r="5" spans="1:13" ht="15" customHeight="1" x14ac:dyDescent="0.25">
      <c r="A5" s="979"/>
      <c r="B5" s="980" t="s">
        <v>30</v>
      </c>
      <c r="C5" s="981" t="s">
        <v>413</v>
      </c>
      <c r="D5" s="981" t="s">
        <v>414</v>
      </c>
      <c r="F5" s="979"/>
      <c r="G5" s="980" t="s">
        <v>30</v>
      </c>
      <c r="H5" s="981" t="s">
        <v>413</v>
      </c>
      <c r="I5" s="981" t="s">
        <v>414</v>
      </c>
    </row>
    <row r="6" spans="1:13" ht="33" customHeight="1" x14ac:dyDescent="0.25">
      <c r="A6" s="982" t="s">
        <v>43</v>
      </c>
      <c r="B6" s="983">
        <f>'ACT-RDT-PQ BY AMS'!B10</f>
        <v>919750</v>
      </c>
      <c r="C6" s="983">
        <f>'ACT-RDT-PQ BY AMS'!G10</f>
        <v>211260</v>
      </c>
      <c r="D6" s="983">
        <f>'ACT-RDT-PQ BY AMS'!H10</f>
        <v>2636500</v>
      </c>
      <c r="F6" s="982" t="s">
        <v>13</v>
      </c>
      <c r="G6" s="983">
        <f>'ACT-RDT-PQ BY AMS'!K10</f>
        <v>1713150</v>
      </c>
      <c r="H6" s="983">
        <f>'ACT-RDT-PQ BY AMS'!P10</f>
        <v>1958190</v>
      </c>
      <c r="I6" s="983">
        <f>'ACT-RDT-PQ BY AMS'!Q10</f>
        <v>2700400</v>
      </c>
    </row>
    <row r="7" spans="1:13" ht="30" customHeight="1" x14ac:dyDescent="0.25">
      <c r="A7" s="984" t="s">
        <v>415</v>
      </c>
      <c r="B7" s="1050">
        <f>'ACT-RDT-PQ BY AMS'!B19</f>
        <v>2.7592500000000002</v>
      </c>
      <c r="C7" s="1050">
        <f>'ACT-RDT-PQ BY AMS'!C19</f>
        <v>0.65747647058823533</v>
      </c>
      <c r="D7" s="1050">
        <f>'ACT-RDT-PQ BY AMS'!H19</f>
        <v>1.8944910179640717</v>
      </c>
      <c r="F7" s="984" t="s">
        <v>417</v>
      </c>
      <c r="G7" s="1052">
        <f>'ACT-RDT-PQ BY AMS'!K19</f>
        <v>5.1394500000000001</v>
      </c>
      <c r="H7" s="1052">
        <f>'ACT-RDT-PQ BY AMS'!L19</f>
        <v>7.4840823529411766</v>
      </c>
      <c r="I7" s="1052">
        <f>'ACT-RDT-PQ BY AMS'!Q19</f>
        <v>1.9404071856287424</v>
      </c>
    </row>
    <row r="8" spans="1:13" ht="32.25" customHeight="1" x14ac:dyDescent="0.25">
      <c r="A8" s="986" t="s">
        <v>416</v>
      </c>
      <c r="B8" s="983">
        <f>'ACT-RDT-PQ BY AMS'!B11</f>
        <v>7000</v>
      </c>
      <c r="C8" s="983">
        <f>'ACT-RDT-PQ BY AMS'!G11</f>
        <v>336300</v>
      </c>
      <c r="D8" s="983">
        <f>'ACT-RDT-PQ BY AMS'!H11</f>
        <v>0</v>
      </c>
      <c r="F8" s="986" t="s">
        <v>416</v>
      </c>
      <c r="G8" s="983">
        <f>'ACT-RDT-PQ BY AMS'!K11</f>
        <v>2000000</v>
      </c>
      <c r="H8" s="983">
        <f>'ACT-RDT-PQ BY AMS'!P11</f>
        <v>1539780</v>
      </c>
      <c r="I8" s="983">
        <f>'ACT-RDT-PQ BY AMS'!Q11</f>
        <v>0</v>
      </c>
    </row>
    <row r="9" spans="1:13" ht="30" x14ac:dyDescent="0.25">
      <c r="A9" s="984" t="s">
        <v>415</v>
      </c>
      <c r="B9" s="1050">
        <f>'ACT-RDT-PQ BY AMS'!B20</f>
        <v>2.1000000000000001E-2</v>
      </c>
      <c r="C9" s="1050">
        <f>'ACT-RDT-PQ BY AMS'!C20</f>
        <v>1.6839529411764707</v>
      </c>
      <c r="D9" s="1050">
        <f>'ACT-RDT-PQ BY AMS'!H20</f>
        <v>0</v>
      </c>
      <c r="F9" s="984" t="s">
        <v>417</v>
      </c>
      <c r="G9" s="985">
        <f>'ACT-RDT-PQ BY AMS'!K20</f>
        <v>6</v>
      </c>
      <c r="H9" s="1052">
        <f>'ACT-RDT-PQ BY AMS'!L20</f>
        <v>7.4497235294117656</v>
      </c>
      <c r="I9" s="1052">
        <f>'ACT-RDT-PQ BY AMS'!Q20</f>
        <v>0</v>
      </c>
    </row>
    <row r="10" spans="1:13" x14ac:dyDescent="0.25">
      <c r="A10" s="987" t="s">
        <v>15</v>
      </c>
      <c r="B10" s="988">
        <f t="shared" ref="B10:D11" si="0">B6+B8</f>
        <v>926750</v>
      </c>
      <c r="C10" s="988">
        <f t="shared" si="0"/>
        <v>547560</v>
      </c>
      <c r="D10" s="988">
        <f t="shared" si="0"/>
        <v>2636500</v>
      </c>
      <c r="F10" s="987" t="s">
        <v>15</v>
      </c>
      <c r="G10" s="988">
        <f>G8+G6</f>
        <v>3713150</v>
      </c>
      <c r="H10" s="988">
        <f>H8+H6</f>
        <v>3497970</v>
      </c>
      <c r="I10" s="988">
        <f>I8+I6</f>
        <v>2700400</v>
      </c>
    </row>
    <row r="11" spans="1:13" ht="30" x14ac:dyDescent="0.25">
      <c r="A11" s="989" t="s">
        <v>415</v>
      </c>
      <c r="B11" s="1051">
        <f t="shared" si="0"/>
        <v>2.7802500000000001</v>
      </c>
      <c r="C11" s="1051">
        <f t="shared" si="0"/>
        <v>2.3414294117647061</v>
      </c>
      <c r="D11" s="1051">
        <f t="shared" si="0"/>
        <v>1.8944910179640717</v>
      </c>
      <c r="F11" s="989" t="s">
        <v>418</v>
      </c>
      <c r="G11" s="1053">
        <f>G7+G9</f>
        <v>11.13945</v>
      </c>
      <c r="H11" s="1053">
        <f>H7+H9</f>
        <v>14.933805882352942</v>
      </c>
      <c r="I11" s="1053">
        <f>I7+I9</f>
        <v>1.9404071856287424</v>
      </c>
    </row>
    <row r="12" spans="1:13" ht="41.25" customHeight="1" x14ac:dyDescent="0.25">
      <c r="A12" s="990"/>
      <c r="B12" s="979"/>
      <c r="C12" s="979"/>
      <c r="D12" s="979"/>
      <c r="I12" s="979"/>
      <c r="J12" s="1358" t="s">
        <v>524</v>
      </c>
      <c r="K12" s="1358"/>
      <c r="L12" s="1358"/>
      <c r="M12" s="1358"/>
    </row>
    <row r="13" spans="1:13" ht="46.5" customHeight="1" x14ac:dyDescent="0.25">
      <c r="A13" s="990"/>
      <c r="B13" s="979"/>
      <c r="C13" s="979"/>
      <c r="D13" s="979"/>
      <c r="J13" s="1107" t="s">
        <v>41</v>
      </c>
      <c r="K13" s="1108" t="s">
        <v>40</v>
      </c>
      <c r="L13" s="1108" t="s">
        <v>123</v>
      </c>
      <c r="M13" s="1108" t="s">
        <v>516</v>
      </c>
    </row>
    <row r="14" spans="1:13" ht="31.5" customHeight="1" x14ac:dyDescent="0.25">
      <c r="J14" s="1106" t="s">
        <v>517</v>
      </c>
      <c r="K14" s="198">
        <f>' Other A.M.Drugs BY AMS'!B12</f>
        <v>0</v>
      </c>
      <c r="L14" s="198">
        <f>' Other A.M.Drugs BY AMS'!M12</f>
        <v>624400</v>
      </c>
      <c r="M14" s="198">
        <f>K14+L14</f>
        <v>624400</v>
      </c>
    </row>
    <row r="15" spans="1:13" ht="27" customHeight="1" x14ac:dyDescent="0.25">
      <c r="J15" s="1106" t="s">
        <v>518</v>
      </c>
      <c r="K15" s="198">
        <f>' Other A.M.Drugs BY AMS'!C12</f>
        <v>63224</v>
      </c>
      <c r="L15" s="198">
        <f>' Other A.M.Drugs BY AMS'!N12</f>
        <v>27000</v>
      </c>
      <c r="M15" s="198">
        <f t="shared" ref="M15:M20" si="1">K15+L15</f>
        <v>90224</v>
      </c>
    </row>
    <row r="16" spans="1:13" x14ac:dyDescent="0.25">
      <c r="J16" s="1106" t="s">
        <v>519</v>
      </c>
      <c r="K16" s="198">
        <f>' Other A.M.Drugs BY AMS'!D12</f>
        <v>19516</v>
      </c>
      <c r="L16" s="198">
        <f>' Other A.M.Drugs BY AMS'!O12</f>
        <v>21000</v>
      </c>
      <c r="M16" s="198">
        <f t="shared" si="1"/>
        <v>40516</v>
      </c>
    </row>
    <row r="17" spans="10:13" ht="23.25" customHeight="1" x14ac:dyDescent="0.25">
      <c r="J17" s="1106" t="s">
        <v>520</v>
      </c>
      <c r="K17" s="198">
        <f>' Other A.M.Drugs BY AMS'!E12</f>
        <v>25418</v>
      </c>
      <c r="L17" s="198">
        <f>' Other A.M.Drugs BY AMS'!P12</f>
        <v>0</v>
      </c>
      <c r="M17" s="198">
        <f t="shared" si="1"/>
        <v>25418</v>
      </c>
    </row>
    <row r="18" spans="10:13" ht="23.25" customHeight="1" x14ac:dyDescent="0.25">
      <c r="J18" s="1106" t="s">
        <v>521</v>
      </c>
      <c r="K18" s="198">
        <f>' Other A.M.Drugs BY AMS'!F12</f>
        <v>1760</v>
      </c>
      <c r="L18" s="198">
        <f>' Other A.M.Drugs BY AMS'!Q12</f>
        <v>10000</v>
      </c>
      <c r="M18" s="198">
        <f t="shared" si="1"/>
        <v>11760</v>
      </c>
    </row>
    <row r="19" spans="10:13" ht="23.25" customHeight="1" x14ac:dyDescent="0.25">
      <c r="J19" s="1106" t="s">
        <v>522</v>
      </c>
      <c r="K19" s="198">
        <f>' Other A.M.Drugs BY AMS'!G12</f>
        <v>52200</v>
      </c>
      <c r="L19" s="198">
        <f>' Other A.M.Drugs BY AMS'!R12</f>
        <v>500000</v>
      </c>
      <c r="M19" s="198">
        <f t="shared" si="1"/>
        <v>552200</v>
      </c>
    </row>
    <row r="20" spans="10:13" ht="29.25" customHeight="1" x14ac:dyDescent="0.25">
      <c r="J20" s="1106" t="s">
        <v>523</v>
      </c>
      <c r="K20" s="198">
        <f>' Other A.M.Drugs BY AMS'!J12</f>
        <v>2433</v>
      </c>
      <c r="L20" s="198">
        <f>' Other A.M.Drugs BY AMS'!U12</f>
        <v>0</v>
      </c>
      <c r="M20" s="198">
        <f t="shared" si="1"/>
        <v>2433</v>
      </c>
    </row>
  </sheetData>
  <mergeCells count="1">
    <mergeCell ref="J12:M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1116" t="s">
        <v>555</v>
      </c>
      <c r="D1" s="1"/>
      <c r="E1" s="1117"/>
      <c r="K1" s="1118"/>
    </row>
    <row r="2" spans="2:15" ht="60" x14ac:dyDescent="0.25">
      <c r="B2" s="1119" t="s">
        <v>556</v>
      </c>
      <c r="C2" s="1120" t="s">
        <v>557</v>
      </c>
      <c r="D2" s="1121" t="s">
        <v>558</v>
      </c>
      <c r="E2" s="1121" t="s">
        <v>559</v>
      </c>
      <c r="F2" s="1121" t="s">
        <v>560</v>
      </c>
      <c r="G2" s="1121" t="s">
        <v>561</v>
      </c>
      <c r="H2" s="1121" t="s">
        <v>562</v>
      </c>
      <c r="I2" s="1121" t="s">
        <v>563</v>
      </c>
      <c r="J2" s="1121" t="s">
        <v>564</v>
      </c>
      <c r="K2" s="1122" t="s">
        <v>565</v>
      </c>
      <c r="L2" s="1122"/>
    </row>
    <row r="3" spans="2:15" x14ac:dyDescent="0.25">
      <c r="B3" s="1123" t="s">
        <v>566</v>
      </c>
      <c r="C3" s="1123" t="s">
        <v>567</v>
      </c>
      <c r="D3" s="1124">
        <v>11100</v>
      </c>
      <c r="E3" s="1123">
        <v>0</v>
      </c>
      <c r="F3" s="1123">
        <v>0</v>
      </c>
      <c r="G3" s="1123">
        <v>0</v>
      </c>
      <c r="H3" s="1123">
        <v>0</v>
      </c>
      <c r="I3" s="1123">
        <v>0</v>
      </c>
      <c r="J3" s="1123" t="s">
        <v>568</v>
      </c>
      <c r="K3" s="1123" t="s">
        <v>569</v>
      </c>
      <c r="L3" s="1125" t="s">
        <v>570</v>
      </c>
    </row>
    <row r="4" spans="2:15" x14ac:dyDescent="0.25">
      <c r="B4" s="1123" t="s">
        <v>571</v>
      </c>
      <c r="C4" s="1123" t="s">
        <v>572</v>
      </c>
      <c r="D4" s="1123">
        <v>0</v>
      </c>
      <c r="E4" s="1123">
        <v>0</v>
      </c>
      <c r="F4" s="1123">
        <v>0</v>
      </c>
      <c r="G4" s="1123">
        <f>243*50</f>
        <v>12150</v>
      </c>
      <c r="H4" s="1124">
        <v>0</v>
      </c>
      <c r="I4" s="1124">
        <v>0</v>
      </c>
      <c r="J4" s="1123" t="s">
        <v>573</v>
      </c>
      <c r="K4" s="1123" t="s">
        <v>574</v>
      </c>
      <c r="L4" s="1125" t="s">
        <v>575</v>
      </c>
    </row>
    <row r="5" spans="2:15" x14ac:dyDescent="0.25">
      <c r="B5" s="1123" t="s">
        <v>576</v>
      </c>
      <c r="C5" s="1123" t="s">
        <v>572</v>
      </c>
      <c r="D5" s="1123">
        <v>0</v>
      </c>
      <c r="E5" s="1123">
        <v>0</v>
      </c>
      <c r="F5" s="1123">
        <v>0</v>
      </c>
      <c r="G5" s="1123">
        <v>12150</v>
      </c>
      <c r="H5" s="1123">
        <v>0</v>
      </c>
      <c r="I5" s="1123">
        <v>0</v>
      </c>
      <c r="J5" s="1123" t="s">
        <v>573</v>
      </c>
      <c r="K5" s="1123" t="s">
        <v>574</v>
      </c>
      <c r="L5" s="1125" t="s">
        <v>575</v>
      </c>
    </row>
    <row r="6" spans="2:15" x14ac:dyDescent="0.25">
      <c r="B6" s="1123" t="s">
        <v>577</v>
      </c>
      <c r="C6" s="1123" t="s">
        <v>572</v>
      </c>
      <c r="D6" s="1123">
        <v>0</v>
      </c>
      <c r="E6" s="1123">
        <v>0</v>
      </c>
      <c r="F6" s="1123">
        <v>0</v>
      </c>
      <c r="G6" s="1123">
        <f>241*50</f>
        <v>12050</v>
      </c>
      <c r="H6" s="1124">
        <v>0</v>
      </c>
      <c r="I6" s="1124">
        <v>0</v>
      </c>
      <c r="J6" s="1123" t="s">
        <v>573</v>
      </c>
      <c r="K6" s="1123" t="s">
        <v>574</v>
      </c>
      <c r="L6" s="1125" t="s">
        <v>575</v>
      </c>
    </row>
    <row r="7" spans="2:15" x14ac:dyDescent="0.25">
      <c r="B7" s="1123" t="s">
        <v>578</v>
      </c>
      <c r="C7" s="1123" t="s">
        <v>572</v>
      </c>
      <c r="D7" s="1123">
        <v>0</v>
      </c>
      <c r="E7" s="1123">
        <v>0</v>
      </c>
      <c r="F7" s="1123">
        <v>0</v>
      </c>
      <c r="G7" s="1123">
        <f>243*50</f>
        <v>12150</v>
      </c>
      <c r="H7" s="1123">
        <v>0</v>
      </c>
      <c r="I7" s="1123">
        <v>0</v>
      </c>
      <c r="J7" s="1123" t="s">
        <v>573</v>
      </c>
      <c r="K7" s="1123" t="s">
        <v>574</v>
      </c>
      <c r="L7" s="1125" t="s">
        <v>575</v>
      </c>
    </row>
    <row r="8" spans="2:15" x14ac:dyDescent="0.25">
      <c r="B8" s="1126" t="s">
        <v>579</v>
      </c>
      <c r="C8" s="1123" t="s">
        <v>572</v>
      </c>
      <c r="D8" s="1123">
        <v>0</v>
      </c>
      <c r="E8" s="1123">
        <v>0</v>
      </c>
      <c r="F8" s="1124">
        <v>0</v>
      </c>
      <c r="G8" s="1124">
        <v>7850</v>
      </c>
      <c r="H8" s="1124">
        <v>0</v>
      </c>
      <c r="I8" s="1124">
        <v>0</v>
      </c>
      <c r="J8" s="1123" t="s">
        <v>573</v>
      </c>
      <c r="K8" s="1123" t="s">
        <v>574</v>
      </c>
      <c r="L8" s="1125" t="s">
        <v>580</v>
      </c>
    </row>
    <row r="9" spans="2:15" x14ac:dyDescent="0.25">
      <c r="B9" s="1127" t="s">
        <v>581</v>
      </c>
      <c r="C9" s="1128" t="s">
        <v>572</v>
      </c>
      <c r="D9" s="1128">
        <v>0</v>
      </c>
      <c r="E9" s="1128">
        <v>0</v>
      </c>
      <c r="F9" s="1129">
        <v>9240</v>
      </c>
      <c r="G9" s="1128">
        <v>0</v>
      </c>
      <c r="H9" s="1128">
        <v>0</v>
      </c>
      <c r="I9" s="1128">
        <v>0</v>
      </c>
      <c r="J9" s="1128" t="s">
        <v>568</v>
      </c>
      <c r="K9" s="1128" t="s">
        <v>582</v>
      </c>
      <c r="L9" s="1130" t="s">
        <v>583</v>
      </c>
    </row>
    <row r="10" spans="2:15" x14ac:dyDescent="0.25">
      <c r="B10" s="1127" t="s">
        <v>584</v>
      </c>
      <c r="C10" s="1128" t="s">
        <v>572</v>
      </c>
      <c r="D10" s="1128">
        <v>0</v>
      </c>
      <c r="E10" s="1128">
        <v>0</v>
      </c>
      <c r="F10" s="1128">
        <v>0</v>
      </c>
      <c r="G10" s="1129">
        <v>0</v>
      </c>
      <c r="H10" s="1129">
        <v>0</v>
      </c>
      <c r="I10" s="1129">
        <v>0</v>
      </c>
      <c r="J10" s="1128" t="s">
        <v>568</v>
      </c>
      <c r="K10" s="1128" t="s">
        <v>582</v>
      </c>
      <c r="L10" s="1130" t="s">
        <v>583</v>
      </c>
    </row>
    <row r="11" spans="2:15" x14ac:dyDescent="0.25">
      <c r="B11" s="1127" t="s">
        <v>585</v>
      </c>
      <c r="C11" s="1128" t="s">
        <v>572</v>
      </c>
      <c r="D11" s="1128">
        <v>0</v>
      </c>
      <c r="E11" s="1128">
        <v>0</v>
      </c>
      <c r="F11" s="1128">
        <v>0</v>
      </c>
      <c r="G11" s="1128">
        <v>0</v>
      </c>
      <c r="H11" s="1128">
        <v>0</v>
      </c>
      <c r="I11" s="1128">
        <v>0</v>
      </c>
      <c r="J11" s="1128" t="s">
        <v>568</v>
      </c>
      <c r="K11" s="1128" t="s">
        <v>582</v>
      </c>
      <c r="L11" s="1130" t="s">
        <v>583</v>
      </c>
    </row>
    <row r="12" spans="2:15" x14ac:dyDescent="0.25">
      <c r="B12" s="1127" t="s">
        <v>586</v>
      </c>
      <c r="C12" s="1128" t="s">
        <v>587</v>
      </c>
      <c r="D12" s="1129">
        <v>0</v>
      </c>
      <c r="E12" s="1129">
        <v>7000</v>
      </c>
      <c r="F12" s="1128">
        <v>0</v>
      </c>
      <c r="G12" s="1129">
        <v>0</v>
      </c>
      <c r="H12" s="1129">
        <v>0</v>
      </c>
      <c r="I12" s="1129">
        <v>0</v>
      </c>
      <c r="J12" s="1128" t="s">
        <v>568</v>
      </c>
      <c r="K12" s="1128" t="s">
        <v>582</v>
      </c>
      <c r="L12" s="1130" t="s">
        <v>588</v>
      </c>
      <c r="N12" s="1"/>
      <c r="O12" s="1"/>
    </row>
    <row r="13" spans="2:15" x14ac:dyDescent="0.25">
      <c r="B13" s="1127" t="s">
        <v>589</v>
      </c>
      <c r="C13" s="1128" t="s">
        <v>587</v>
      </c>
      <c r="D13" s="1129">
        <v>0</v>
      </c>
      <c r="E13" s="1129">
        <v>12500</v>
      </c>
      <c r="F13" s="1128">
        <v>0</v>
      </c>
      <c r="G13" s="1128">
        <v>0</v>
      </c>
      <c r="H13" s="1128">
        <v>0</v>
      </c>
      <c r="I13" s="1128">
        <v>0</v>
      </c>
      <c r="J13" s="1128" t="s">
        <v>568</v>
      </c>
      <c r="K13" s="1128" t="s">
        <v>582</v>
      </c>
      <c r="L13" s="1130" t="s">
        <v>588</v>
      </c>
    </row>
    <row r="14" spans="2:15" x14ac:dyDescent="0.25">
      <c r="B14" s="1127" t="s">
        <v>590</v>
      </c>
      <c r="C14" s="1128" t="s">
        <v>587</v>
      </c>
      <c r="D14" s="1129">
        <v>0</v>
      </c>
      <c r="E14" s="1129">
        <v>7300</v>
      </c>
      <c r="F14" s="1128">
        <v>0</v>
      </c>
      <c r="G14" s="1129">
        <v>0</v>
      </c>
      <c r="H14" s="1129">
        <v>0</v>
      </c>
      <c r="I14" s="1129">
        <v>0</v>
      </c>
      <c r="J14" s="1128" t="s">
        <v>568</v>
      </c>
      <c r="K14" s="1128" t="s">
        <v>582</v>
      </c>
      <c r="L14" s="1130" t="s">
        <v>588</v>
      </c>
    </row>
    <row r="15" spans="2:15" x14ac:dyDescent="0.25">
      <c r="B15" s="1127" t="s">
        <v>591</v>
      </c>
      <c r="C15" s="1128" t="s">
        <v>587</v>
      </c>
      <c r="D15" s="1129">
        <v>0</v>
      </c>
      <c r="E15" s="1129">
        <v>12500</v>
      </c>
      <c r="F15" s="1128">
        <v>0</v>
      </c>
      <c r="G15" s="1128">
        <v>0</v>
      </c>
      <c r="H15" s="1128">
        <v>0</v>
      </c>
      <c r="I15" s="1128">
        <v>0</v>
      </c>
      <c r="J15" s="1128" t="s">
        <v>568</v>
      </c>
      <c r="K15" s="1128" t="s">
        <v>582</v>
      </c>
      <c r="L15" s="1130" t="s">
        <v>588</v>
      </c>
    </row>
    <row r="16" spans="2:15" x14ac:dyDescent="0.25">
      <c r="B16" s="1131" t="s">
        <v>592</v>
      </c>
      <c r="C16" s="1131" t="s">
        <v>572</v>
      </c>
      <c r="D16" s="1132">
        <v>0</v>
      </c>
      <c r="E16" s="1132">
        <v>0</v>
      </c>
      <c r="F16" s="1132">
        <v>0</v>
      </c>
      <c r="G16" s="1132">
        <v>0</v>
      </c>
      <c r="H16" s="1131">
        <f>380*50</f>
        <v>19000</v>
      </c>
      <c r="I16" s="1132">
        <v>0</v>
      </c>
      <c r="J16" s="1132" t="s">
        <v>568</v>
      </c>
      <c r="K16" s="1132" t="s">
        <v>574</v>
      </c>
      <c r="L16" s="1131" t="s">
        <v>593</v>
      </c>
    </row>
    <row r="17" spans="2:19" x14ac:dyDescent="0.25">
      <c r="B17" s="1131" t="s">
        <v>594</v>
      </c>
      <c r="C17" s="1131" t="s">
        <v>572</v>
      </c>
      <c r="D17" s="1132">
        <v>0</v>
      </c>
      <c r="E17" s="1132">
        <v>0</v>
      </c>
      <c r="F17" s="1132">
        <v>0</v>
      </c>
      <c r="G17" s="1132">
        <v>0</v>
      </c>
      <c r="H17" s="1131">
        <f t="shared" ref="H17:H45" si="0">380*50</f>
        <v>19000</v>
      </c>
      <c r="I17" s="1132">
        <v>0</v>
      </c>
      <c r="J17" s="1132" t="s">
        <v>568</v>
      </c>
      <c r="K17" s="1132" t="s">
        <v>574</v>
      </c>
      <c r="L17" s="1131" t="s">
        <v>593</v>
      </c>
    </row>
    <row r="18" spans="2:19" x14ac:dyDescent="0.25">
      <c r="B18" s="1131" t="s">
        <v>595</v>
      </c>
      <c r="C18" s="1131" t="s">
        <v>572</v>
      </c>
      <c r="D18" s="1132">
        <v>0</v>
      </c>
      <c r="E18" s="1132">
        <v>0</v>
      </c>
      <c r="F18" s="1132">
        <v>0</v>
      </c>
      <c r="G18" s="1132">
        <v>0</v>
      </c>
      <c r="H18" s="1131">
        <f t="shared" si="0"/>
        <v>19000</v>
      </c>
      <c r="I18" s="1132">
        <v>0</v>
      </c>
      <c r="J18" s="1132" t="s">
        <v>568</v>
      </c>
      <c r="K18" s="1132" t="s">
        <v>574</v>
      </c>
      <c r="L18" s="1131" t="s">
        <v>593</v>
      </c>
      <c r="N18" s="1"/>
      <c r="O18" s="1133"/>
      <c r="P18" s="1"/>
    </row>
    <row r="19" spans="2:19" x14ac:dyDescent="0.25">
      <c r="B19" s="1131" t="s">
        <v>596</v>
      </c>
      <c r="C19" s="1131" t="s">
        <v>572</v>
      </c>
      <c r="D19" s="1132">
        <v>0</v>
      </c>
      <c r="E19" s="1132">
        <v>0</v>
      </c>
      <c r="F19" s="1132">
        <v>0</v>
      </c>
      <c r="G19" s="1132">
        <v>0</v>
      </c>
      <c r="H19" s="1131">
        <f t="shared" si="0"/>
        <v>19000</v>
      </c>
      <c r="I19" s="1132">
        <v>0</v>
      </c>
      <c r="J19" s="1132" t="s">
        <v>568</v>
      </c>
      <c r="K19" s="1132" t="s">
        <v>574</v>
      </c>
      <c r="L19" s="1131" t="s">
        <v>593</v>
      </c>
    </row>
    <row r="20" spans="2:19" x14ac:dyDescent="0.25">
      <c r="B20" s="1131" t="s">
        <v>597</v>
      </c>
      <c r="C20" s="1131" t="s">
        <v>572</v>
      </c>
      <c r="D20" s="1132">
        <v>0</v>
      </c>
      <c r="E20" s="1132">
        <v>0</v>
      </c>
      <c r="F20" s="1132">
        <v>0</v>
      </c>
      <c r="G20" s="1132">
        <v>0</v>
      </c>
      <c r="H20" s="1131">
        <f t="shared" si="0"/>
        <v>19000</v>
      </c>
      <c r="I20" s="1132">
        <v>0</v>
      </c>
      <c r="J20" s="1132" t="s">
        <v>568</v>
      </c>
      <c r="K20" s="1132" t="s">
        <v>574</v>
      </c>
      <c r="L20" s="1131" t="s">
        <v>593</v>
      </c>
    </row>
    <row r="21" spans="2:19" x14ac:dyDescent="0.25">
      <c r="B21" s="1131" t="s">
        <v>598</v>
      </c>
      <c r="C21" s="1131" t="s">
        <v>572</v>
      </c>
      <c r="D21" s="1132">
        <v>0</v>
      </c>
      <c r="E21" s="1132">
        <v>0</v>
      </c>
      <c r="F21" s="1132">
        <v>0</v>
      </c>
      <c r="G21" s="1132">
        <v>0</v>
      </c>
      <c r="H21" s="1131">
        <f t="shared" si="0"/>
        <v>19000</v>
      </c>
      <c r="I21" s="1132">
        <v>0</v>
      </c>
      <c r="J21" s="1132" t="s">
        <v>568</v>
      </c>
      <c r="K21" s="1132" t="s">
        <v>574</v>
      </c>
      <c r="L21" s="1131" t="s">
        <v>593</v>
      </c>
    </row>
    <row r="22" spans="2:19" x14ac:dyDescent="0.25">
      <c r="B22" s="1131" t="s">
        <v>599</v>
      </c>
      <c r="C22" s="1131" t="s">
        <v>572</v>
      </c>
      <c r="D22" s="1132">
        <v>0</v>
      </c>
      <c r="E22" s="1132">
        <v>0</v>
      </c>
      <c r="F22" s="1132">
        <v>0</v>
      </c>
      <c r="G22" s="1132">
        <v>0</v>
      </c>
      <c r="H22" s="1131">
        <f t="shared" si="0"/>
        <v>19000</v>
      </c>
      <c r="I22" s="1132">
        <v>0</v>
      </c>
      <c r="J22" s="1132" t="s">
        <v>568</v>
      </c>
      <c r="K22" s="1132" t="s">
        <v>574</v>
      </c>
      <c r="L22" s="1131" t="s">
        <v>593</v>
      </c>
    </row>
    <row r="23" spans="2:19" x14ac:dyDescent="0.25">
      <c r="B23" s="1131" t="s">
        <v>600</v>
      </c>
      <c r="C23" s="1131" t="s">
        <v>572</v>
      </c>
      <c r="D23" s="1132">
        <v>0</v>
      </c>
      <c r="E23" s="1132">
        <v>0</v>
      </c>
      <c r="F23" s="1132">
        <v>0</v>
      </c>
      <c r="G23" s="1132">
        <v>0</v>
      </c>
      <c r="H23" s="1131">
        <f t="shared" si="0"/>
        <v>19000</v>
      </c>
      <c r="I23" s="1132">
        <v>0</v>
      </c>
      <c r="J23" s="1132" t="s">
        <v>568</v>
      </c>
      <c r="K23" s="1132" t="s">
        <v>574</v>
      </c>
      <c r="L23" s="1131" t="s">
        <v>593</v>
      </c>
    </row>
    <row r="24" spans="2:19" x14ac:dyDescent="0.25">
      <c r="B24" s="1131" t="s">
        <v>601</v>
      </c>
      <c r="C24" s="1131" t="s">
        <v>572</v>
      </c>
      <c r="D24" s="1132">
        <v>0</v>
      </c>
      <c r="E24" s="1132">
        <v>0</v>
      </c>
      <c r="F24" s="1132">
        <v>0</v>
      </c>
      <c r="G24" s="1132">
        <v>0</v>
      </c>
      <c r="H24" s="1131">
        <f t="shared" si="0"/>
        <v>19000</v>
      </c>
      <c r="I24" s="1132">
        <v>0</v>
      </c>
      <c r="J24" s="1132" t="s">
        <v>568</v>
      </c>
      <c r="K24" s="1132" t="s">
        <v>574</v>
      </c>
      <c r="L24" s="1131" t="s">
        <v>593</v>
      </c>
    </row>
    <row r="25" spans="2:19" x14ac:dyDescent="0.25">
      <c r="B25" s="1131" t="s">
        <v>602</v>
      </c>
      <c r="C25" s="1131" t="s">
        <v>572</v>
      </c>
      <c r="D25" s="1132">
        <v>0</v>
      </c>
      <c r="E25" s="1132">
        <v>0</v>
      </c>
      <c r="F25" s="1132">
        <v>0</v>
      </c>
      <c r="G25" s="1132">
        <v>0</v>
      </c>
      <c r="H25" s="1131">
        <f t="shared" si="0"/>
        <v>19000</v>
      </c>
      <c r="I25" s="1132">
        <v>0</v>
      </c>
      <c r="J25" s="1132" t="s">
        <v>568</v>
      </c>
      <c r="K25" s="1132" t="s">
        <v>574</v>
      </c>
      <c r="L25" s="1131" t="s">
        <v>593</v>
      </c>
    </row>
    <row r="26" spans="2:19" x14ac:dyDescent="0.25">
      <c r="B26" s="1131" t="s">
        <v>603</v>
      </c>
      <c r="C26" s="1131" t="s">
        <v>572</v>
      </c>
      <c r="D26" s="1132">
        <v>0</v>
      </c>
      <c r="E26" s="1132">
        <v>0</v>
      </c>
      <c r="F26" s="1132">
        <v>0</v>
      </c>
      <c r="G26" s="1132">
        <v>0</v>
      </c>
      <c r="H26" s="1131">
        <f t="shared" si="0"/>
        <v>19000</v>
      </c>
      <c r="I26" s="1132">
        <v>0</v>
      </c>
      <c r="J26" s="1132" t="s">
        <v>568</v>
      </c>
      <c r="K26" s="1132" t="s">
        <v>574</v>
      </c>
      <c r="L26" s="1131" t="s">
        <v>593</v>
      </c>
      <c r="S26" s="1"/>
    </row>
    <row r="27" spans="2:19" x14ac:dyDescent="0.25">
      <c r="B27" s="1131" t="s">
        <v>604</v>
      </c>
      <c r="C27" s="1131" t="s">
        <v>572</v>
      </c>
      <c r="D27" s="1132">
        <v>0</v>
      </c>
      <c r="E27" s="1132">
        <v>0</v>
      </c>
      <c r="F27" s="1132">
        <v>0</v>
      </c>
      <c r="G27" s="1132">
        <v>0</v>
      </c>
      <c r="H27" s="1131">
        <f t="shared" si="0"/>
        <v>19000</v>
      </c>
      <c r="I27" s="1132">
        <v>0</v>
      </c>
      <c r="J27" s="1132" t="s">
        <v>568</v>
      </c>
      <c r="K27" s="1132" t="s">
        <v>574</v>
      </c>
      <c r="L27" s="1131" t="s">
        <v>593</v>
      </c>
      <c r="S27" s="1"/>
    </row>
    <row r="28" spans="2:19" x14ac:dyDescent="0.25">
      <c r="B28" s="1134" t="s">
        <v>605</v>
      </c>
      <c r="C28" s="1134" t="s">
        <v>572</v>
      </c>
      <c r="D28" s="1135">
        <v>0</v>
      </c>
      <c r="E28" s="1135">
        <v>0</v>
      </c>
      <c r="F28" s="1135">
        <v>0</v>
      </c>
      <c r="G28" s="1135">
        <v>0</v>
      </c>
      <c r="H28" s="1135">
        <v>0</v>
      </c>
      <c r="I28" s="1135">
        <v>16650</v>
      </c>
      <c r="J28" s="1135" t="s">
        <v>568</v>
      </c>
      <c r="K28" s="1135" t="s">
        <v>574</v>
      </c>
      <c r="L28" s="1134" t="s">
        <v>606</v>
      </c>
      <c r="S28" s="1"/>
    </row>
    <row r="29" spans="2:19" x14ac:dyDescent="0.25">
      <c r="B29" s="1134" t="s">
        <v>607</v>
      </c>
      <c r="C29" s="1134" t="s">
        <v>572</v>
      </c>
      <c r="D29" s="1135">
        <v>0</v>
      </c>
      <c r="E29" s="1135">
        <v>0</v>
      </c>
      <c r="F29" s="1135">
        <v>0</v>
      </c>
      <c r="G29" s="1135">
        <v>0</v>
      </c>
      <c r="H29" s="1135">
        <v>0</v>
      </c>
      <c r="I29" s="1135">
        <v>16650</v>
      </c>
      <c r="J29" s="1135" t="s">
        <v>568</v>
      </c>
      <c r="K29" s="1135" t="s">
        <v>574</v>
      </c>
      <c r="L29" s="1134" t="s">
        <v>606</v>
      </c>
      <c r="S29" s="1"/>
    </row>
    <row r="30" spans="2:19" x14ac:dyDescent="0.25">
      <c r="B30" s="1134" t="s">
        <v>608</v>
      </c>
      <c r="C30" s="1134" t="s">
        <v>572</v>
      </c>
      <c r="D30" s="1135">
        <v>0</v>
      </c>
      <c r="E30" s="1135">
        <v>0</v>
      </c>
      <c r="F30" s="1135">
        <v>0</v>
      </c>
      <c r="G30" s="1135">
        <v>0</v>
      </c>
      <c r="H30" s="1135">
        <v>0</v>
      </c>
      <c r="I30" s="1135">
        <v>16650</v>
      </c>
      <c r="J30" s="1135" t="s">
        <v>568</v>
      </c>
      <c r="K30" s="1135" t="s">
        <v>574</v>
      </c>
      <c r="L30" s="1134" t="s">
        <v>606</v>
      </c>
    </row>
    <row r="31" spans="2:19" x14ac:dyDescent="0.25">
      <c r="B31" s="1134" t="s">
        <v>609</v>
      </c>
      <c r="C31" s="1134" t="s">
        <v>572</v>
      </c>
      <c r="D31" s="1135">
        <v>0</v>
      </c>
      <c r="E31" s="1135">
        <v>0</v>
      </c>
      <c r="F31" s="1135">
        <v>0</v>
      </c>
      <c r="G31" s="1135">
        <v>0</v>
      </c>
      <c r="H31" s="1135">
        <v>0</v>
      </c>
      <c r="I31" s="1135">
        <v>16700</v>
      </c>
      <c r="J31" s="1135" t="s">
        <v>568</v>
      </c>
      <c r="K31" s="1135" t="s">
        <v>574</v>
      </c>
      <c r="L31" s="1134" t="s">
        <v>606</v>
      </c>
    </row>
    <row r="32" spans="2:19" x14ac:dyDescent="0.25">
      <c r="B32" s="1134" t="s">
        <v>610</v>
      </c>
      <c r="C32" s="1134" t="s">
        <v>572</v>
      </c>
      <c r="D32" s="1135">
        <v>0</v>
      </c>
      <c r="E32" s="1135">
        <v>0</v>
      </c>
      <c r="F32" s="1135">
        <v>0</v>
      </c>
      <c r="G32" s="1135">
        <v>0</v>
      </c>
      <c r="H32" s="1135">
        <v>0</v>
      </c>
      <c r="I32" s="1135">
        <v>16700</v>
      </c>
      <c r="J32" s="1135" t="s">
        <v>568</v>
      </c>
      <c r="K32" s="1135" t="s">
        <v>574</v>
      </c>
      <c r="L32" s="1134" t="s">
        <v>606</v>
      </c>
    </row>
    <row r="33" spans="2:16" x14ac:dyDescent="0.25">
      <c r="B33" s="1134" t="s">
        <v>611</v>
      </c>
      <c r="C33" s="1134" t="s">
        <v>572</v>
      </c>
      <c r="D33" s="1135">
        <v>0</v>
      </c>
      <c r="E33" s="1135">
        <v>0</v>
      </c>
      <c r="F33" s="1135">
        <v>0</v>
      </c>
      <c r="G33" s="1135">
        <v>0</v>
      </c>
      <c r="H33" s="1135">
        <v>0</v>
      </c>
      <c r="I33" s="1135">
        <v>16700</v>
      </c>
      <c r="J33" s="1135" t="s">
        <v>568</v>
      </c>
      <c r="K33" s="1135" t="s">
        <v>574</v>
      </c>
      <c r="L33" s="1134" t="s">
        <v>606</v>
      </c>
    </row>
    <row r="34" spans="2:16" x14ac:dyDescent="0.25">
      <c r="B34" s="1136" t="s">
        <v>612</v>
      </c>
      <c r="C34" s="1136" t="s">
        <v>572</v>
      </c>
      <c r="D34" s="1137">
        <v>0</v>
      </c>
      <c r="E34" s="1137">
        <v>0</v>
      </c>
      <c r="F34" s="1137">
        <v>0</v>
      </c>
      <c r="G34" s="1137">
        <v>0</v>
      </c>
      <c r="H34" s="1136">
        <f t="shared" si="0"/>
        <v>19000</v>
      </c>
      <c r="I34" s="1137">
        <v>0</v>
      </c>
      <c r="J34" s="1137" t="s">
        <v>568</v>
      </c>
      <c r="K34" s="1137" t="s">
        <v>613</v>
      </c>
      <c r="L34" s="1136" t="s">
        <v>614</v>
      </c>
    </row>
    <row r="35" spans="2:16" x14ac:dyDescent="0.25">
      <c r="B35" s="1136" t="s">
        <v>615</v>
      </c>
      <c r="C35" s="1136" t="s">
        <v>572</v>
      </c>
      <c r="D35" s="1137">
        <v>0</v>
      </c>
      <c r="E35" s="1137">
        <v>0</v>
      </c>
      <c r="F35" s="1137">
        <v>0</v>
      </c>
      <c r="G35" s="1137">
        <v>0</v>
      </c>
      <c r="H35" s="1136">
        <f t="shared" si="0"/>
        <v>19000</v>
      </c>
      <c r="I35" s="1137">
        <v>0</v>
      </c>
      <c r="J35" s="1137" t="s">
        <v>568</v>
      </c>
      <c r="K35" s="1137" t="s">
        <v>613</v>
      </c>
      <c r="L35" s="1136" t="s">
        <v>614</v>
      </c>
    </row>
    <row r="36" spans="2:16" x14ac:dyDescent="0.25">
      <c r="B36" s="1136" t="s">
        <v>616</v>
      </c>
      <c r="C36" s="1136" t="s">
        <v>572</v>
      </c>
      <c r="D36" s="1137">
        <v>0</v>
      </c>
      <c r="E36" s="1137">
        <v>0</v>
      </c>
      <c r="F36" s="1137">
        <v>0</v>
      </c>
      <c r="G36" s="1137">
        <v>0</v>
      </c>
      <c r="H36" s="1136">
        <f t="shared" si="0"/>
        <v>19000</v>
      </c>
      <c r="I36" s="1137">
        <v>0</v>
      </c>
      <c r="J36" s="1137" t="s">
        <v>568</v>
      </c>
      <c r="K36" s="1137" t="s">
        <v>613</v>
      </c>
      <c r="L36" s="1136" t="s">
        <v>614</v>
      </c>
      <c r="O36" s="1"/>
      <c r="P36" s="1"/>
    </row>
    <row r="37" spans="2:16" x14ac:dyDescent="0.25">
      <c r="B37" s="1136" t="s">
        <v>617</v>
      </c>
      <c r="C37" s="1136" t="s">
        <v>572</v>
      </c>
      <c r="D37" s="1137">
        <v>0</v>
      </c>
      <c r="E37" s="1137">
        <v>0</v>
      </c>
      <c r="F37" s="1137">
        <v>0</v>
      </c>
      <c r="G37" s="1137">
        <v>0</v>
      </c>
      <c r="H37" s="1136">
        <f t="shared" si="0"/>
        <v>19000</v>
      </c>
      <c r="I37" s="1137">
        <v>0</v>
      </c>
      <c r="J37" s="1137" t="s">
        <v>568</v>
      </c>
      <c r="K37" s="1137" t="s">
        <v>613</v>
      </c>
      <c r="L37" s="1136" t="s">
        <v>614</v>
      </c>
    </row>
    <row r="38" spans="2:16" x14ac:dyDescent="0.25">
      <c r="B38" s="1136" t="s">
        <v>618</v>
      </c>
      <c r="C38" s="1136" t="s">
        <v>572</v>
      </c>
      <c r="D38" s="1137">
        <v>0</v>
      </c>
      <c r="E38" s="1137">
        <v>0</v>
      </c>
      <c r="F38" s="1137">
        <v>0</v>
      </c>
      <c r="G38" s="1137">
        <v>0</v>
      </c>
      <c r="H38" s="1136">
        <f t="shared" si="0"/>
        <v>19000</v>
      </c>
      <c r="I38" s="1137">
        <v>0</v>
      </c>
      <c r="J38" s="1137" t="s">
        <v>568</v>
      </c>
      <c r="K38" s="1137" t="s">
        <v>613</v>
      </c>
      <c r="L38" s="1136" t="s">
        <v>614</v>
      </c>
    </row>
    <row r="39" spans="2:16" x14ac:dyDescent="0.25">
      <c r="B39" s="1136" t="s">
        <v>619</v>
      </c>
      <c r="C39" s="1136" t="s">
        <v>572</v>
      </c>
      <c r="D39" s="1137">
        <v>0</v>
      </c>
      <c r="E39" s="1137">
        <v>0</v>
      </c>
      <c r="F39" s="1137">
        <v>0</v>
      </c>
      <c r="G39" s="1137">
        <v>0</v>
      </c>
      <c r="H39" s="1136">
        <f t="shared" si="0"/>
        <v>19000</v>
      </c>
      <c r="I39" s="1137">
        <v>0</v>
      </c>
      <c r="J39" s="1137" t="s">
        <v>568</v>
      </c>
      <c r="K39" s="1137" t="s">
        <v>613</v>
      </c>
      <c r="L39" s="1136" t="s">
        <v>614</v>
      </c>
    </row>
    <row r="40" spans="2:16" x14ac:dyDescent="0.25">
      <c r="B40" s="1136" t="s">
        <v>620</v>
      </c>
      <c r="C40" s="1136" t="s">
        <v>572</v>
      </c>
      <c r="D40" s="1137">
        <v>0</v>
      </c>
      <c r="E40" s="1137">
        <v>0</v>
      </c>
      <c r="F40" s="1137">
        <v>0</v>
      </c>
      <c r="G40" s="1137">
        <v>0</v>
      </c>
      <c r="H40" s="1136">
        <f t="shared" si="0"/>
        <v>19000</v>
      </c>
      <c r="I40" s="1137">
        <v>0</v>
      </c>
      <c r="J40" s="1137" t="s">
        <v>568</v>
      </c>
      <c r="K40" s="1137" t="s">
        <v>613</v>
      </c>
      <c r="L40" s="1136" t="s">
        <v>614</v>
      </c>
    </row>
    <row r="41" spans="2:16" x14ac:dyDescent="0.25">
      <c r="B41" s="1136" t="s">
        <v>621</v>
      </c>
      <c r="C41" s="1136" t="s">
        <v>572</v>
      </c>
      <c r="D41" s="1137">
        <v>0</v>
      </c>
      <c r="E41" s="1137">
        <v>0</v>
      </c>
      <c r="F41" s="1137">
        <v>0</v>
      </c>
      <c r="G41" s="1137">
        <v>0</v>
      </c>
      <c r="H41" s="1136">
        <f t="shared" si="0"/>
        <v>19000</v>
      </c>
      <c r="I41" s="1137">
        <v>0</v>
      </c>
      <c r="J41" s="1137" t="s">
        <v>568</v>
      </c>
      <c r="K41" s="1137" t="s">
        <v>613</v>
      </c>
      <c r="L41" s="1136" t="s">
        <v>614</v>
      </c>
    </row>
    <row r="42" spans="2:16" x14ac:dyDescent="0.25">
      <c r="B42" s="1136" t="s">
        <v>621</v>
      </c>
      <c r="C42" s="1136" t="s">
        <v>572</v>
      </c>
      <c r="D42" s="1137">
        <v>0</v>
      </c>
      <c r="E42" s="1137">
        <v>0</v>
      </c>
      <c r="F42" s="1137">
        <v>0</v>
      </c>
      <c r="G42" s="1137">
        <v>0</v>
      </c>
      <c r="H42" s="1136">
        <f t="shared" si="0"/>
        <v>19000</v>
      </c>
      <c r="I42" s="1137">
        <v>0</v>
      </c>
      <c r="J42" s="1137" t="s">
        <v>568</v>
      </c>
      <c r="K42" s="1137" t="s">
        <v>613</v>
      </c>
      <c r="L42" s="1136" t="s">
        <v>614</v>
      </c>
    </row>
    <row r="43" spans="2:16" x14ac:dyDescent="0.25">
      <c r="B43" s="1136" t="s">
        <v>622</v>
      </c>
      <c r="C43" s="1136" t="s">
        <v>572</v>
      </c>
      <c r="D43" s="1137">
        <v>0</v>
      </c>
      <c r="E43" s="1137">
        <v>0</v>
      </c>
      <c r="F43" s="1137">
        <v>0</v>
      </c>
      <c r="G43" s="1137">
        <v>0</v>
      </c>
      <c r="H43" s="1136">
        <f t="shared" si="0"/>
        <v>19000</v>
      </c>
      <c r="I43" s="1137">
        <v>0</v>
      </c>
      <c r="J43" s="1137" t="s">
        <v>568</v>
      </c>
      <c r="K43" s="1137" t="s">
        <v>613</v>
      </c>
      <c r="L43" s="1136" t="s">
        <v>614</v>
      </c>
    </row>
    <row r="44" spans="2:16" x14ac:dyDescent="0.25">
      <c r="B44" s="1136" t="s">
        <v>623</v>
      </c>
      <c r="C44" s="1136" t="s">
        <v>572</v>
      </c>
      <c r="D44" s="1137">
        <v>0</v>
      </c>
      <c r="E44" s="1137">
        <v>0</v>
      </c>
      <c r="F44" s="1137">
        <v>0</v>
      </c>
      <c r="G44" s="1137">
        <v>0</v>
      </c>
      <c r="H44" s="1136">
        <f t="shared" si="0"/>
        <v>19000</v>
      </c>
      <c r="I44" s="1137">
        <v>0</v>
      </c>
      <c r="J44" s="1137" t="s">
        <v>568</v>
      </c>
      <c r="K44" s="1137" t="s">
        <v>613</v>
      </c>
      <c r="L44" s="1136" t="s">
        <v>614</v>
      </c>
    </row>
    <row r="45" spans="2:16" x14ac:dyDescent="0.25">
      <c r="B45" s="1136" t="s">
        <v>624</v>
      </c>
      <c r="C45" s="1136" t="s">
        <v>572</v>
      </c>
      <c r="D45" s="1137">
        <v>0</v>
      </c>
      <c r="E45" s="1137">
        <v>0</v>
      </c>
      <c r="F45" s="1137">
        <v>0</v>
      </c>
      <c r="G45" s="1137">
        <v>0</v>
      </c>
      <c r="H45" s="1136">
        <f t="shared" si="0"/>
        <v>19000</v>
      </c>
      <c r="I45" s="1137">
        <v>0</v>
      </c>
      <c r="J45" s="1137" t="s">
        <v>568</v>
      </c>
      <c r="K45" s="1137" t="s">
        <v>613</v>
      </c>
      <c r="L45" s="1136" t="s">
        <v>614</v>
      </c>
    </row>
    <row r="46" spans="2:16" ht="15.75" x14ac:dyDescent="0.25">
      <c r="B46" s="1138" t="s">
        <v>625</v>
      </c>
      <c r="C46" s="1139" t="s">
        <v>572</v>
      </c>
      <c r="D46" s="1140">
        <v>0</v>
      </c>
      <c r="E46" s="1140">
        <v>0</v>
      </c>
      <c r="F46" s="1140">
        <v>0</v>
      </c>
      <c r="G46" s="1139">
        <v>0</v>
      </c>
      <c r="H46" s="1140">
        <v>0</v>
      </c>
      <c r="I46" s="1140">
        <v>12500</v>
      </c>
      <c r="J46" s="1139" t="s">
        <v>568</v>
      </c>
      <c r="K46" s="1139" t="s">
        <v>582</v>
      </c>
      <c r="L46" s="1141" t="s">
        <v>626</v>
      </c>
    </row>
    <row r="47" spans="2:16" ht="15.75" x14ac:dyDescent="0.25">
      <c r="B47" s="1138" t="s">
        <v>627</v>
      </c>
      <c r="C47" s="1139" t="s">
        <v>572</v>
      </c>
      <c r="D47" s="1140">
        <v>0</v>
      </c>
      <c r="E47" s="1140">
        <v>0</v>
      </c>
      <c r="F47" s="1140">
        <v>0</v>
      </c>
      <c r="G47" s="1139">
        <v>0</v>
      </c>
      <c r="H47" s="1140">
        <v>0</v>
      </c>
      <c r="I47" s="1140">
        <v>12500</v>
      </c>
      <c r="J47" s="1139" t="s">
        <v>568</v>
      </c>
      <c r="K47" s="1139" t="s">
        <v>582</v>
      </c>
      <c r="L47" s="1141" t="s">
        <v>626</v>
      </c>
    </row>
    <row r="48" spans="2:16" x14ac:dyDescent="0.25">
      <c r="B48" s="1131" t="s">
        <v>628</v>
      </c>
      <c r="C48" s="1131" t="s">
        <v>572</v>
      </c>
      <c r="D48" s="1132">
        <v>0</v>
      </c>
      <c r="E48" s="1132">
        <v>0</v>
      </c>
      <c r="F48" s="1132">
        <v>0</v>
      </c>
      <c r="G48" s="1132">
        <v>0</v>
      </c>
      <c r="H48" s="1131">
        <f t="shared" ref="H48:H58" si="1">380*50</f>
        <v>19000</v>
      </c>
      <c r="I48" s="1132">
        <v>0</v>
      </c>
      <c r="J48" s="1132" t="s">
        <v>573</v>
      </c>
      <c r="K48" s="1132" t="s">
        <v>613</v>
      </c>
      <c r="L48" s="1131" t="s">
        <v>629</v>
      </c>
    </row>
    <row r="49" spans="2:12" x14ac:dyDescent="0.25">
      <c r="B49" s="1131" t="s">
        <v>630</v>
      </c>
      <c r="C49" s="1131" t="s">
        <v>572</v>
      </c>
      <c r="D49" s="1132">
        <v>0</v>
      </c>
      <c r="E49" s="1132">
        <v>0</v>
      </c>
      <c r="F49" s="1132">
        <v>0</v>
      </c>
      <c r="G49" s="1132">
        <v>0</v>
      </c>
      <c r="H49" s="1131">
        <f t="shared" si="1"/>
        <v>19000</v>
      </c>
      <c r="I49" s="1132">
        <v>0</v>
      </c>
      <c r="J49" s="1132" t="s">
        <v>573</v>
      </c>
      <c r="K49" s="1132" t="s">
        <v>613</v>
      </c>
      <c r="L49" s="1131" t="s">
        <v>629</v>
      </c>
    </row>
    <row r="50" spans="2:12" x14ac:dyDescent="0.25">
      <c r="B50" s="1131" t="s">
        <v>631</v>
      </c>
      <c r="C50" s="1131" t="s">
        <v>572</v>
      </c>
      <c r="D50" s="1132">
        <v>0</v>
      </c>
      <c r="E50" s="1132">
        <v>0</v>
      </c>
      <c r="F50" s="1132">
        <v>0</v>
      </c>
      <c r="G50" s="1132">
        <v>0</v>
      </c>
      <c r="H50" s="1131">
        <f t="shared" si="1"/>
        <v>19000</v>
      </c>
      <c r="I50" s="1132">
        <v>0</v>
      </c>
      <c r="J50" s="1132" t="s">
        <v>573</v>
      </c>
      <c r="K50" s="1132" t="s">
        <v>613</v>
      </c>
      <c r="L50" s="1131" t="s">
        <v>629</v>
      </c>
    </row>
    <row r="51" spans="2:12" x14ac:dyDescent="0.25">
      <c r="B51" s="1131" t="s">
        <v>632</v>
      </c>
      <c r="C51" s="1131" t="s">
        <v>572</v>
      </c>
      <c r="D51" s="1132">
        <v>0</v>
      </c>
      <c r="E51" s="1132">
        <v>0</v>
      </c>
      <c r="F51" s="1132">
        <v>0</v>
      </c>
      <c r="G51" s="1132">
        <v>0</v>
      </c>
      <c r="H51" s="1131">
        <f t="shared" si="1"/>
        <v>19000</v>
      </c>
      <c r="I51" s="1132">
        <v>0</v>
      </c>
      <c r="J51" s="1132" t="s">
        <v>573</v>
      </c>
      <c r="K51" s="1132" t="s">
        <v>613</v>
      </c>
      <c r="L51" s="1131" t="s">
        <v>629</v>
      </c>
    </row>
    <row r="52" spans="2:12" x14ac:dyDescent="0.25">
      <c r="B52" s="1131" t="s">
        <v>633</v>
      </c>
      <c r="C52" s="1131" t="s">
        <v>572</v>
      </c>
      <c r="D52" s="1132">
        <v>0</v>
      </c>
      <c r="E52" s="1132">
        <v>0</v>
      </c>
      <c r="F52" s="1132">
        <v>0</v>
      </c>
      <c r="G52" s="1132">
        <v>0</v>
      </c>
      <c r="H52" s="1131">
        <f t="shared" si="1"/>
        <v>19000</v>
      </c>
      <c r="I52" s="1132">
        <v>0</v>
      </c>
      <c r="J52" s="1132" t="s">
        <v>573</v>
      </c>
      <c r="K52" s="1132" t="s">
        <v>613</v>
      </c>
      <c r="L52" s="1131" t="s">
        <v>629</v>
      </c>
    </row>
    <row r="53" spans="2:12" x14ac:dyDescent="0.25">
      <c r="B53" s="1131" t="s">
        <v>634</v>
      </c>
      <c r="C53" s="1131" t="s">
        <v>572</v>
      </c>
      <c r="D53" s="1132">
        <v>0</v>
      </c>
      <c r="E53" s="1132">
        <v>0</v>
      </c>
      <c r="F53" s="1132">
        <v>0</v>
      </c>
      <c r="G53" s="1132">
        <v>0</v>
      </c>
      <c r="H53" s="1131">
        <f t="shared" si="1"/>
        <v>19000</v>
      </c>
      <c r="I53" s="1132">
        <v>0</v>
      </c>
      <c r="J53" s="1132" t="s">
        <v>573</v>
      </c>
      <c r="K53" s="1132" t="s">
        <v>613</v>
      </c>
      <c r="L53" s="1131" t="s">
        <v>629</v>
      </c>
    </row>
    <row r="54" spans="2:12" x14ac:dyDescent="0.25">
      <c r="B54" s="1131" t="s">
        <v>635</v>
      </c>
      <c r="C54" s="1131" t="s">
        <v>572</v>
      </c>
      <c r="D54" s="1132">
        <v>0</v>
      </c>
      <c r="E54" s="1132">
        <v>0</v>
      </c>
      <c r="F54" s="1132">
        <v>0</v>
      </c>
      <c r="G54" s="1132">
        <v>0</v>
      </c>
      <c r="H54" s="1131">
        <f t="shared" si="1"/>
        <v>19000</v>
      </c>
      <c r="I54" s="1132">
        <v>0</v>
      </c>
      <c r="J54" s="1132" t="s">
        <v>573</v>
      </c>
      <c r="K54" s="1132" t="s">
        <v>613</v>
      </c>
      <c r="L54" s="1131" t="s">
        <v>629</v>
      </c>
    </row>
    <row r="55" spans="2:12" x14ac:dyDescent="0.25">
      <c r="B55" s="1131" t="s">
        <v>636</v>
      </c>
      <c r="C55" s="1131" t="s">
        <v>572</v>
      </c>
      <c r="D55" s="1132">
        <v>0</v>
      </c>
      <c r="E55" s="1132">
        <v>0</v>
      </c>
      <c r="F55" s="1132">
        <v>0</v>
      </c>
      <c r="G55" s="1132">
        <v>0</v>
      </c>
      <c r="H55" s="1131">
        <f t="shared" si="1"/>
        <v>19000</v>
      </c>
      <c r="I55" s="1132">
        <v>0</v>
      </c>
      <c r="J55" s="1132" t="s">
        <v>573</v>
      </c>
      <c r="K55" s="1132" t="s">
        <v>613</v>
      </c>
      <c r="L55" s="1131" t="s">
        <v>629</v>
      </c>
    </row>
    <row r="56" spans="2:12" x14ac:dyDescent="0.25">
      <c r="B56" s="1131" t="s">
        <v>637</v>
      </c>
      <c r="C56" s="1131" t="s">
        <v>572</v>
      </c>
      <c r="D56" s="1132">
        <v>0</v>
      </c>
      <c r="E56" s="1132">
        <v>0</v>
      </c>
      <c r="F56" s="1132">
        <v>0</v>
      </c>
      <c r="G56" s="1132">
        <v>0</v>
      </c>
      <c r="H56" s="1131">
        <f t="shared" si="1"/>
        <v>19000</v>
      </c>
      <c r="I56" s="1132">
        <v>0</v>
      </c>
      <c r="J56" s="1132" t="s">
        <v>573</v>
      </c>
      <c r="K56" s="1132" t="s">
        <v>613</v>
      </c>
      <c r="L56" s="1131" t="s">
        <v>629</v>
      </c>
    </row>
    <row r="57" spans="2:12" x14ac:dyDescent="0.25">
      <c r="B57" s="1131" t="s">
        <v>638</v>
      </c>
      <c r="C57" s="1131" t="s">
        <v>572</v>
      </c>
      <c r="D57" s="1132">
        <v>0</v>
      </c>
      <c r="E57" s="1132">
        <v>0</v>
      </c>
      <c r="F57" s="1132">
        <v>0</v>
      </c>
      <c r="G57" s="1132">
        <v>0</v>
      </c>
      <c r="H57" s="1131">
        <f t="shared" si="1"/>
        <v>19000</v>
      </c>
      <c r="I57" s="1132">
        <v>0</v>
      </c>
      <c r="J57" s="1132" t="s">
        <v>573</v>
      </c>
      <c r="K57" s="1132" t="s">
        <v>613</v>
      </c>
      <c r="L57" s="1131" t="s">
        <v>629</v>
      </c>
    </row>
    <row r="58" spans="2:12" x14ac:dyDescent="0.25">
      <c r="B58" s="1131" t="s">
        <v>639</v>
      </c>
      <c r="C58" s="1131" t="s">
        <v>572</v>
      </c>
      <c r="D58" s="1132">
        <v>0</v>
      </c>
      <c r="E58" s="1132">
        <v>0</v>
      </c>
      <c r="F58" s="1132">
        <v>0</v>
      </c>
      <c r="G58" s="1132">
        <v>0</v>
      </c>
      <c r="H58" s="1131">
        <f t="shared" si="1"/>
        <v>19000</v>
      </c>
      <c r="I58" s="1132">
        <v>0</v>
      </c>
      <c r="J58" s="1132" t="s">
        <v>573</v>
      </c>
      <c r="K58" s="1132" t="s">
        <v>613</v>
      </c>
      <c r="L58" s="1131" t="s">
        <v>629</v>
      </c>
    </row>
    <row r="59" spans="2:12" x14ac:dyDescent="0.25">
      <c r="B59" s="1131" t="s">
        <v>24</v>
      </c>
      <c r="C59" s="1131"/>
      <c r="D59" s="1142">
        <f>SUM(D3:D33)</f>
        <v>11100</v>
      </c>
      <c r="E59" s="1142">
        <v>39300</v>
      </c>
      <c r="F59" s="1142">
        <v>9240</v>
      </c>
      <c r="G59" s="1131">
        <f>SUM(G4:G33)</f>
        <v>56350</v>
      </c>
      <c r="H59" s="1142">
        <f>SUM(H3:H58)</f>
        <v>665000</v>
      </c>
      <c r="I59" s="1142">
        <v>125050</v>
      </c>
      <c r="J59" s="1132"/>
      <c r="K59" s="1132"/>
      <c r="L59" s="1131"/>
    </row>
    <row r="61" spans="2:12" ht="45" x14ac:dyDescent="0.25">
      <c r="B61" s="1143" t="s">
        <v>640</v>
      </c>
      <c r="C61" s="1144" t="s">
        <v>641</v>
      </c>
      <c r="D61" s="1145" t="s">
        <v>642</v>
      </c>
      <c r="E61" s="1145" t="s">
        <v>643</v>
      </c>
      <c r="F61" s="1145" t="s">
        <v>644</v>
      </c>
      <c r="G61" s="1145" t="s">
        <v>645</v>
      </c>
    </row>
    <row r="62" spans="2:12" x14ac:dyDescent="0.25">
      <c r="B62" s="1146" t="s">
        <v>582</v>
      </c>
      <c r="C62" s="1147">
        <v>9240</v>
      </c>
      <c r="D62" s="1148">
        <v>0</v>
      </c>
      <c r="E62" s="1148">
        <v>39300</v>
      </c>
      <c r="F62" s="1148">
        <v>25000</v>
      </c>
      <c r="G62" s="1148">
        <v>11100</v>
      </c>
    </row>
    <row r="63" spans="2:12" x14ac:dyDescent="0.25">
      <c r="B63" s="1146" t="s">
        <v>646</v>
      </c>
      <c r="C63" s="1147">
        <v>56350</v>
      </c>
      <c r="D63" s="1148">
        <v>665000</v>
      </c>
      <c r="E63" s="1149">
        <v>0</v>
      </c>
      <c r="F63" s="1148">
        <v>100050</v>
      </c>
      <c r="G63" s="1149">
        <v>0</v>
      </c>
    </row>
    <row r="64" spans="2:12" x14ac:dyDescent="0.25">
      <c r="B64" s="1150" t="s">
        <v>647</v>
      </c>
      <c r="C64" s="1151">
        <f>SUM(C62:C63)</f>
        <v>65590</v>
      </c>
      <c r="D64" s="1152">
        <f>SUM(D62:D63)</f>
        <v>665000</v>
      </c>
      <c r="E64" s="1152">
        <f>SUM(E62:E63)</f>
        <v>39300</v>
      </c>
      <c r="F64" s="1152">
        <f>SUM(F62:F63)</f>
        <v>125050</v>
      </c>
      <c r="G64" s="1152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  <vt:lpstr>'NDoH Outstanding Orders'!Print_Area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2024-07-03T06:04:40Z</cp:lastPrinted>
  <dcterms:created xsi:type="dcterms:W3CDTF">2019-02-21T23:24:40Z</dcterms:created>
  <dcterms:modified xsi:type="dcterms:W3CDTF">2026-02-27T00:28:01Z</dcterms:modified>
</cp:coreProperties>
</file>