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Yando\Desktop\Work Files\2025\Stock update\"/>
    </mc:Choice>
  </mc:AlternateContent>
  <bookViews>
    <workbookView xWindow="0" yWindow="0" windowWidth="20490" windowHeight="7650" tabRatio="768" activeTab="1"/>
  </bookViews>
  <sheets>
    <sheet name="SUMMARY STOCK UPDATE" sheetId="9" r:id="rId1"/>
    <sheet name="ACT-RDT-PQ BY AMS" sheetId="2" r:id="rId2"/>
    <sheet name=" Other A.M.Drugs BY AMS" sheetId="8" r:id="rId3"/>
    <sheet name="RAM-GF_PROC.-2021 REQ.ACT-RDT" sheetId="12" r:id="rId4"/>
    <sheet name="NDoH Outstanding Orders" sheetId="14" r:id="rId5"/>
    <sheet name="EXP.DATES For ACT-RDT-PQ" sheetId="10" r:id="rId6"/>
    <sheet name="Table of Summary" sheetId="16" r:id="rId7"/>
    <sheet name="LLIN SOH" sheetId="17" r:id="rId8"/>
  </sheets>
  <definedNames>
    <definedName name="_xlnm.Print_Area" localSheetId="2">' Other A.M.Drugs BY AMS'!$A$1:$AD$13</definedName>
    <definedName name="_xlnm.Print_Area" localSheetId="1">'ACT-RDT-PQ BY AMS'!$A$1:$R$48</definedName>
    <definedName name="_xlnm.Print_Area" localSheetId="4">'NDoH Outstanding Orders'!$B$245:$M$290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4" i="17" l="1"/>
  <c r="G64" i="17" l="1"/>
  <c r="F64" i="17"/>
  <c r="E64" i="17"/>
  <c r="C64" i="17"/>
  <c r="G59" i="17"/>
  <c r="D59" i="17"/>
  <c r="H58" i="17"/>
  <c r="H57" i="17"/>
  <c r="H56" i="17"/>
  <c r="H55" i="17"/>
  <c r="H54" i="17"/>
  <c r="H53" i="17"/>
  <c r="H52" i="17"/>
  <c r="H51" i="17"/>
  <c r="H50" i="17"/>
  <c r="H49" i="17"/>
  <c r="H48" i="17"/>
  <c r="H45" i="17"/>
  <c r="H44" i="17"/>
  <c r="H43" i="17"/>
  <c r="H42" i="17"/>
  <c r="H41" i="17"/>
  <c r="H40" i="17"/>
  <c r="H39" i="17"/>
  <c r="H38" i="17"/>
  <c r="H37" i="17"/>
  <c r="H36" i="17"/>
  <c r="H35" i="17"/>
  <c r="H34" i="17"/>
  <c r="H27" i="17"/>
  <c r="H26" i="17"/>
  <c r="H25" i="17"/>
  <c r="H24" i="17"/>
  <c r="H23" i="17"/>
  <c r="H22" i="17"/>
  <c r="H21" i="17"/>
  <c r="H20" i="17"/>
  <c r="H19" i="17"/>
  <c r="H18" i="17"/>
  <c r="H17" i="17"/>
  <c r="H16" i="17"/>
  <c r="H59" i="17" s="1"/>
  <c r="G7" i="17"/>
  <c r="G6" i="17"/>
  <c r="G4" i="17"/>
  <c r="AL182" i="14" l="1"/>
  <c r="M137" i="14"/>
  <c r="H10" i="2"/>
  <c r="H12" i="2" s="1"/>
  <c r="G12" i="2"/>
  <c r="G10" i="2"/>
  <c r="G11" i="2"/>
  <c r="G9" i="2"/>
  <c r="Q34" i="2" l="1"/>
  <c r="B36" i="2"/>
  <c r="G35" i="2"/>
  <c r="H34" i="2"/>
  <c r="H36" i="2" s="1"/>
  <c r="F34" i="2"/>
  <c r="F36" i="2" s="1"/>
  <c r="E34" i="2"/>
  <c r="E36" i="2" s="1"/>
  <c r="D34" i="2"/>
  <c r="D36" i="2" s="1"/>
  <c r="C34" i="2"/>
  <c r="C36" i="2" s="1"/>
  <c r="B34" i="2"/>
  <c r="G33" i="2"/>
  <c r="G32" i="2"/>
  <c r="G31" i="2"/>
  <c r="G30" i="2"/>
  <c r="G29" i="2"/>
  <c r="G34" i="2" s="1"/>
  <c r="G36" i="2" s="1"/>
  <c r="O10" i="2" l="1"/>
  <c r="N10" i="2"/>
  <c r="M10" i="2"/>
  <c r="L10" i="2"/>
  <c r="K10" i="2" l="1"/>
  <c r="C10" i="2" l="1"/>
  <c r="B10" i="2"/>
  <c r="AL121" i="14"/>
  <c r="G5" i="2" l="1"/>
  <c r="I26" i="8"/>
  <c r="H26" i="8"/>
  <c r="G26" i="8"/>
  <c r="D26" i="8"/>
  <c r="C26" i="8"/>
  <c r="B26" i="8"/>
  <c r="G24" i="8"/>
  <c r="E24" i="8"/>
  <c r="E26" i="8" s="1"/>
  <c r="D24" i="8"/>
  <c r="C24" i="8"/>
  <c r="B24" i="8"/>
  <c r="F21" i="8"/>
  <c r="F24" i="8" s="1"/>
  <c r="F26" i="8" s="1"/>
  <c r="J19" i="8"/>
  <c r="J24" i="8" s="1"/>
  <c r="J26" i="8" s="1"/>
  <c r="B19" i="8"/>
  <c r="G86" i="10" l="1"/>
  <c r="F10" i="2"/>
  <c r="F12" i="2" s="1"/>
  <c r="G93" i="10"/>
  <c r="G94" i="10"/>
  <c r="G78" i="10" l="1"/>
  <c r="F73" i="10"/>
  <c r="G74" i="10"/>
  <c r="G63" i="10"/>
  <c r="F47" i="10"/>
  <c r="F43" i="10"/>
  <c r="G37" i="10" l="1"/>
  <c r="G31" i="10"/>
  <c r="G30" i="10"/>
  <c r="G29" i="10"/>
  <c r="AM242" i="14" l="1"/>
  <c r="AL232" i="14"/>
  <c r="G7" i="2" l="1"/>
  <c r="H43" i="2" l="1"/>
  <c r="C43" i="2"/>
  <c r="B43" i="2"/>
  <c r="B42" i="2"/>
  <c r="H40" i="2" l="1"/>
  <c r="H41" i="2" s="1"/>
  <c r="H42" i="2"/>
  <c r="O32" i="12"/>
  <c r="O29" i="12"/>
  <c r="P15" i="12"/>
  <c r="P29" i="12"/>
  <c r="C40" i="2" l="1"/>
  <c r="C41" i="2" s="1"/>
  <c r="C42" i="2"/>
  <c r="B40" i="2"/>
  <c r="B41" i="2" s="1"/>
  <c r="O30" i="12"/>
  <c r="E39" i="12"/>
  <c r="C43" i="12" l="1"/>
  <c r="C42" i="12"/>
  <c r="C41" i="12"/>
  <c r="B39" i="12"/>
  <c r="J36" i="12"/>
  <c r="I36" i="12"/>
  <c r="A39" i="12"/>
  <c r="A38" i="12"/>
  <c r="D36" i="12"/>
  <c r="D40" i="12"/>
  <c r="I39" i="12"/>
  <c r="M18" i="16" l="1"/>
  <c r="M14" i="16"/>
  <c r="L20" i="16"/>
  <c r="L19" i="16"/>
  <c r="L18" i="16"/>
  <c r="L17" i="16"/>
  <c r="L16" i="16"/>
  <c r="L14" i="16"/>
  <c r="K18" i="16"/>
  <c r="K14" i="16"/>
  <c r="AL97" i="14"/>
  <c r="AA9" i="8" l="1"/>
  <c r="G86" i="14"/>
  <c r="F48" i="14"/>
  <c r="B12" i="8"/>
  <c r="F100" i="14" l="1"/>
  <c r="AL235" i="14"/>
  <c r="AL229" i="14"/>
  <c r="AL172" i="14" l="1"/>
  <c r="AL166" i="14"/>
  <c r="AA35" i="2" l="1"/>
  <c r="P32" i="2"/>
  <c r="O34" i="2"/>
  <c r="X34" i="2" s="1"/>
  <c r="M34" i="2"/>
  <c r="M36" i="2" s="1"/>
  <c r="V36" i="2" s="1"/>
  <c r="K34" i="2"/>
  <c r="T34" i="2" s="1"/>
  <c r="P29" i="2"/>
  <c r="P31" i="2"/>
  <c r="P33" i="2"/>
  <c r="L34" i="2"/>
  <c r="N34" i="2"/>
  <c r="W34" i="2" s="1"/>
  <c r="L35" i="2"/>
  <c r="L43" i="2" s="1"/>
  <c r="M35" i="2"/>
  <c r="N35" i="2"/>
  <c r="O35" i="2"/>
  <c r="Q35" i="2"/>
  <c r="Q43" i="2" s="1"/>
  <c r="K43" i="2"/>
  <c r="P35" i="2" l="1"/>
  <c r="Q36" i="2"/>
  <c r="Q40" i="2" s="1"/>
  <c r="Q41" i="2" s="1"/>
  <c r="L36" i="2"/>
  <c r="U36" i="2" s="1"/>
  <c r="U34" i="2"/>
  <c r="Z34" i="2"/>
  <c r="V34" i="2"/>
  <c r="K36" i="2"/>
  <c r="K42" i="2"/>
  <c r="O36" i="2"/>
  <c r="X36" i="2" s="1"/>
  <c r="P30" i="2"/>
  <c r="L42" i="2"/>
  <c r="Q42" i="2"/>
  <c r="N36" i="2"/>
  <c r="Z36" i="2" l="1"/>
  <c r="Z37" i="2" s="1"/>
  <c r="AA34" i="2"/>
  <c r="K40" i="2"/>
  <c r="K41" i="2" s="1"/>
  <c r="T36" i="2"/>
  <c r="T37" i="2" s="1"/>
  <c r="P34" i="2"/>
  <c r="Y34" i="2" s="1"/>
  <c r="P36" i="2"/>
  <c r="Y36" i="2" s="1"/>
  <c r="W36" i="2"/>
  <c r="AA36" i="2" s="1"/>
  <c r="AA37" i="2" s="1"/>
  <c r="L40" i="2"/>
  <c r="L41" i="2" s="1"/>
  <c r="AL228" i="14"/>
  <c r="AL96" i="14"/>
  <c r="AM97" i="14"/>
  <c r="AL51" i="14"/>
  <c r="C10" i="8"/>
  <c r="D10" i="2" l="1"/>
  <c r="E10" i="2"/>
  <c r="E12" i="2" s="1"/>
  <c r="X12" i="8" l="1"/>
  <c r="E24" i="14"/>
  <c r="E49" i="14"/>
  <c r="E52" i="14"/>
  <c r="E58" i="14" s="1"/>
  <c r="AL98" i="14"/>
  <c r="AL93" i="14"/>
  <c r="B12" i="2" l="1"/>
  <c r="B17" i="2" s="1"/>
  <c r="B5" i="8"/>
  <c r="L243" i="14" l="1"/>
  <c r="M57" i="14" l="1"/>
  <c r="AD25" i="8"/>
  <c r="AC25" i="8"/>
  <c r="AB25" i="8"/>
  <c r="AA25" i="8"/>
  <c r="Z25" i="8"/>
  <c r="Y25" i="8"/>
  <c r="X25" i="8"/>
  <c r="Y24" i="8" l="1"/>
  <c r="Y26" i="8" s="1"/>
  <c r="K182" i="14" l="1"/>
  <c r="AA18" i="2" l="1"/>
  <c r="G9" i="10"/>
  <c r="AD242" i="14"/>
  <c r="AM241" i="14"/>
  <c r="M241" i="14"/>
  <c r="AL165" i="14"/>
  <c r="AD185" i="14"/>
  <c r="AE185" i="14"/>
  <c r="AD137" i="14"/>
  <c r="W137" i="14"/>
  <c r="X137" i="14"/>
  <c r="Y137" i="14"/>
  <c r="Z137" i="14"/>
  <c r="V137" i="14"/>
  <c r="AM183" i="14"/>
  <c r="N183" i="14"/>
  <c r="J183" i="14"/>
  <c r="AD58" i="14"/>
  <c r="AD100" i="14"/>
  <c r="AM184" i="14"/>
  <c r="M184" i="14"/>
  <c r="M136" i="14"/>
  <c r="AM136" i="14"/>
  <c r="AL92" i="14"/>
  <c r="I92" i="14" s="1"/>
  <c r="AM92" i="14"/>
  <c r="AL81" i="14"/>
  <c r="M99" i="14"/>
  <c r="AM99" i="14"/>
  <c r="AM100" i="14" s="1"/>
  <c r="AM57" i="14"/>
  <c r="H20" i="2" l="1"/>
  <c r="G6" i="2" l="1"/>
  <c r="G8" i="2"/>
  <c r="C20" i="2" l="1"/>
  <c r="D9" i="16"/>
  <c r="E232" i="14"/>
  <c r="AB242" i="14"/>
  <c r="AM240" i="14"/>
  <c r="K240" i="14"/>
  <c r="AM239" i="14"/>
  <c r="K239" i="14"/>
  <c r="K242" i="14" s="1"/>
  <c r="AB185" i="14"/>
  <c r="AM182" i="14"/>
  <c r="AM185" i="14" s="1"/>
  <c r="K185" i="14"/>
  <c r="AB137" i="14"/>
  <c r="AM135" i="14"/>
  <c r="K135" i="14"/>
  <c r="AB100" i="14"/>
  <c r="AK100" i="14"/>
  <c r="AM98" i="14"/>
  <c r="K98" i="14"/>
  <c r="K97" i="14"/>
  <c r="AB58" i="14"/>
  <c r="K56" i="14"/>
  <c r="K58" i="14" s="1"/>
  <c r="AM56" i="14"/>
  <c r="G103" i="10" l="1"/>
  <c r="G102" i="10"/>
  <c r="G91" i="10"/>
  <c r="G92" i="10"/>
  <c r="G89" i="10"/>
  <c r="G87" i="10"/>
  <c r="G85" i="10"/>
  <c r="G84" i="10"/>
  <c r="G83" i="10"/>
  <c r="G62" i="10"/>
  <c r="G57" i="10"/>
  <c r="G45" i="10"/>
  <c r="G44" i="10"/>
  <c r="G33" i="10"/>
  <c r="I9" i="16"/>
  <c r="G9" i="16"/>
  <c r="G8" i="16"/>
  <c r="D8" i="16"/>
  <c r="B8" i="16"/>
  <c r="B19" i="2"/>
  <c r="B7" i="16" s="1"/>
  <c r="C8" i="16"/>
  <c r="AH137" i="14"/>
  <c r="Q134" i="14"/>
  <c r="AM134" i="14"/>
  <c r="J180" i="14"/>
  <c r="J179" i="14"/>
  <c r="J176" i="14"/>
  <c r="P185" i="14"/>
  <c r="R185" i="14"/>
  <c r="S185" i="14"/>
  <c r="T185" i="14"/>
  <c r="V185" i="14"/>
  <c r="W185" i="14"/>
  <c r="X185" i="14"/>
  <c r="Y185" i="14"/>
  <c r="Z185" i="14"/>
  <c r="AC185" i="14"/>
  <c r="AF185" i="14"/>
  <c r="AG185" i="14"/>
  <c r="AH185" i="14"/>
  <c r="AI185" i="14"/>
  <c r="AJ185" i="14"/>
  <c r="AK185" i="14"/>
  <c r="AM181" i="14"/>
  <c r="I181" i="14"/>
  <c r="J181" i="14" s="1"/>
  <c r="J229" i="14"/>
  <c r="J230" i="14"/>
  <c r="J231" i="14"/>
  <c r="J232" i="14"/>
  <c r="J233" i="14"/>
  <c r="J234" i="14"/>
  <c r="J228" i="14"/>
  <c r="P242" i="14"/>
  <c r="R242" i="14"/>
  <c r="S242" i="14"/>
  <c r="T242" i="14"/>
  <c r="V242" i="14"/>
  <c r="W242" i="14"/>
  <c r="X242" i="14"/>
  <c r="Y242" i="14"/>
  <c r="Z242" i="14"/>
  <c r="AC242" i="14"/>
  <c r="AE242" i="14"/>
  <c r="AF242" i="14"/>
  <c r="AG242" i="14"/>
  <c r="AH242" i="14"/>
  <c r="AI242" i="14"/>
  <c r="AJ242" i="14"/>
  <c r="AK242" i="14"/>
  <c r="I238" i="14"/>
  <c r="J238" i="14" s="1"/>
  <c r="H237" i="14"/>
  <c r="J237" i="14" s="1"/>
  <c r="G236" i="14"/>
  <c r="F235" i="14"/>
  <c r="AM233" i="14"/>
  <c r="AM234" i="14"/>
  <c r="AM235" i="14"/>
  <c r="AM236" i="14"/>
  <c r="AM237" i="14"/>
  <c r="AM238" i="14"/>
  <c r="N234" i="14"/>
  <c r="M233" i="14"/>
  <c r="AE58" i="14"/>
  <c r="AF58" i="14"/>
  <c r="AG58" i="14"/>
  <c r="AH58" i="14"/>
  <c r="AI58" i="14"/>
  <c r="AJ58" i="14"/>
  <c r="AK58" i="14"/>
  <c r="AC58" i="14"/>
  <c r="W58" i="14"/>
  <c r="X58" i="14"/>
  <c r="Y58" i="14"/>
  <c r="Z58" i="14"/>
  <c r="V58" i="14"/>
  <c r="R58" i="14"/>
  <c r="S58" i="14"/>
  <c r="P55" i="14"/>
  <c r="P58" i="14" s="1"/>
  <c r="N54" i="14"/>
  <c r="L53" i="14"/>
  <c r="AM53" i="14"/>
  <c r="AM54" i="14"/>
  <c r="AM55" i="14"/>
  <c r="J236" i="14" l="1"/>
  <c r="J235" i="14"/>
  <c r="F242" i="14"/>
  <c r="B6" i="16"/>
  <c r="B10" i="16" s="1"/>
  <c r="AL217" i="14"/>
  <c r="AL175" i="14"/>
  <c r="N26" i="8" l="1"/>
  <c r="U24" i="8"/>
  <c r="T24" i="8"/>
  <c r="T26" i="8" s="1"/>
  <c r="S24" i="8"/>
  <c r="S26" i="8" s="1"/>
  <c r="R24" i="8"/>
  <c r="Q24" i="8"/>
  <c r="P24" i="8"/>
  <c r="M24" i="8"/>
  <c r="X24" i="8" s="1"/>
  <c r="X26" i="8" s="1"/>
  <c r="Q26" i="8" l="1"/>
  <c r="AB24" i="8"/>
  <c r="AB26" i="8" s="1"/>
  <c r="U26" i="8"/>
  <c r="AD24" i="8"/>
  <c r="AD26" i="8" s="1"/>
  <c r="O26" i="8"/>
  <c r="Z24" i="8"/>
  <c r="Z26" i="8" s="1"/>
  <c r="P26" i="8"/>
  <c r="AA24" i="8"/>
  <c r="AA26" i="8" s="1"/>
  <c r="R26" i="8"/>
  <c r="AC24" i="8"/>
  <c r="AC26" i="8" s="1"/>
  <c r="M26" i="8"/>
  <c r="G149" i="14"/>
  <c r="F148" i="14"/>
  <c r="AL12" i="14"/>
  <c r="AL11" i="14"/>
  <c r="AM59" i="14"/>
  <c r="AM229" i="14"/>
  <c r="M229" i="14"/>
  <c r="AM232" i="14"/>
  <c r="E180" i="14"/>
  <c r="AM180" i="14"/>
  <c r="AM133" i="14"/>
  <c r="J133" i="14"/>
  <c r="E133" i="14"/>
  <c r="E137" i="14" s="1"/>
  <c r="K7" i="2" s="1"/>
  <c r="V100" i="14"/>
  <c r="V243" i="14" s="1"/>
  <c r="AM96" i="14"/>
  <c r="E96" i="14"/>
  <c r="AM51" i="14"/>
  <c r="AM52" i="14"/>
  <c r="AM58" i="14" s="1"/>
  <c r="C12" i="2"/>
  <c r="C22" i="2" l="1"/>
  <c r="AA41" i="2"/>
  <c r="AA40" i="2"/>
  <c r="Z40" i="2"/>
  <c r="T41" i="2"/>
  <c r="G17" i="10" l="1"/>
  <c r="G8" i="10"/>
  <c r="G3" i="10"/>
  <c r="B20" i="2" l="1"/>
  <c r="B9" i="16" s="1"/>
  <c r="B11" i="16" s="1"/>
  <c r="AL103" i="14"/>
  <c r="Q5" i="8"/>
  <c r="S5" i="8"/>
  <c r="T5" i="8"/>
  <c r="Z41" i="2"/>
  <c r="T40" i="2"/>
  <c r="E37" i="12" l="1"/>
  <c r="I37" i="12"/>
  <c r="Q9" i="8" l="1"/>
  <c r="S9" i="8"/>
  <c r="T9" i="8"/>
  <c r="U9" i="8"/>
  <c r="AM231" i="14"/>
  <c r="N231" i="14"/>
  <c r="N242" i="14" s="1"/>
  <c r="AM230" i="14"/>
  <c r="M230" i="14"/>
  <c r="M242" i="14" s="1"/>
  <c r="Q8" i="8"/>
  <c r="S8" i="8"/>
  <c r="T8" i="8"/>
  <c r="U8" i="8"/>
  <c r="AC137" i="14"/>
  <c r="AE137" i="14"/>
  <c r="AF137" i="14"/>
  <c r="AG137" i="14"/>
  <c r="AI137" i="14"/>
  <c r="AJ137" i="14"/>
  <c r="AK137" i="14"/>
  <c r="P137" i="14"/>
  <c r="Q7" i="8" s="1"/>
  <c r="R137" i="14"/>
  <c r="S7" i="8" s="1"/>
  <c r="S137" i="14"/>
  <c r="T7" i="8" s="1"/>
  <c r="T137" i="14"/>
  <c r="U7" i="8" s="1"/>
  <c r="AM179" i="14"/>
  <c r="N179" i="14"/>
  <c r="AM178" i="14"/>
  <c r="M178" i="14"/>
  <c r="AM132" i="14"/>
  <c r="N132" i="14"/>
  <c r="AM131" i="14"/>
  <c r="M131" i="14"/>
  <c r="AE100" i="14"/>
  <c r="AF100" i="14"/>
  <c r="AG100" i="14"/>
  <c r="AH100" i="14"/>
  <c r="AI100" i="14"/>
  <c r="AJ100" i="14"/>
  <c r="AC100" i="14"/>
  <c r="W100" i="14"/>
  <c r="X100" i="14"/>
  <c r="Y100" i="14"/>
  <c r="Z100" i="14"/>
  <c r="P100" i="14"/>
  <c r="Q6" i="8" s="1"/>
  <c r="R100" i="14"/>
  <c r="S6" i="8" s="1"/>
  <c r="S100" i="14"/>
  <c r="T6" i="8" s="1"/>
  <c r="AM94" i="14"/>
  <c r="AM95" i="14"/>
  <c r="N95" i="14"/>
  <c r="M94" i="14"/>
  <c r="N51" i="14"/>
  <c r="AM50" i="14"/>
  <c r="I32" i="12"/>
  <c r="L35" i="12"/>
  <c r="M35" i="12"/>
  <c r="K20" i="2"/>
  <c r="Q10" i="8" l="1"/>
  <c r="Q12" i="8" s="1"/>
  <c r="S10" i="8"/>
  <c r="S12" i="8" s="1"/>
  <c r="T10" i="8"/>
  <c r="T12" i="8" s="1"/>
  <c r="C9" i="16" l="1"/>
  <c r="E38" i="12" l="1"/>
  <c r="I38" i="12"/>
  <c r="I40" i="12" s="1"/>
  <c r="AM177" i="14" l="1"/>
  <c r="K177" i="14"/>
  <c r="I88" i="14"/>
  <c r="H19" i="2" l="1"/>
  <c r="D7" i="16" s="1"/>
  <c r="D11" i="16" s="1"/>
  <c r="D6" i="16"/>
  <c r="D10" i="16" s="1"/>
  <c r="H17" i="2"/>
  <c r="H18" i="2" s="1"/>
  <c r="AL216" i="14"/>
  <c r="L226" i="14"/>
  <c r="AL212" i="14"/>
  <c r="AL220" i="14"/>
  <c r="AL219" i="14"/>
  <c r="AL190" i="14"/>
  <c r="AM228" i="14"/>
  <c r="E228" i="14"/>
  <c r="E242" i="14" s="1"/>
  <c r="AL164" i="14"/>
  <c r="E176" i="14"/>
  <c r="E185" i="14" s="1"/>
  <c r="AL167" i="14"/>
  <c r="AM175" i="14"/>
  <c r="E175" i="14"/>
  <c r="AM176" i="14"/>
  <c r="AL119" i="14"/>
  <c r="E130" i="14"/>
  <c r="AM130" i="14"/>
  <c r="AL82" i="14"/>
  <c r="AL84" i="14"/>
  <c r="AM93" i="14"/>
  <c r="E93" i="14"/>
  <c r="AL38" i="14"/>
  <c r="AL37" i="14"/>
  <c r="AM49" i="14"/>
  <c r="AL42" i="14"/>
  <c r="AL40" i="14"/>
  <c r="AL39" i="14"/>
  <c r="AC21" i="2" l="1"/>
  <c r="T17" i="2"/>
  <c r="T18" i="2"/>
  <c r="Z18" i="2"/>
  <c r="I31" i="12" l="1"/>
  <c r="M40" i="12" l="1"/>
  <c r="M38" i="12"/>
  <c r="M37" i="12"/>
  <c r="D38" i="12"/>
  <c r="D37" i="12"/>
  <c r="E36" i="12" l="1"/>
  <c r="M11" i="2" l="1"/>
  <c r="N11" i="2"/>
  <c r="O11" i="2"/>
  <c r="L11" i="2"/>
  <c r="E227" i="14" l="1"/>
  <c r="G10" i="8" l="1"/>
  <c r="E10" i="8"/>
  <c r="E12" i="8" s="1"/>
  <c r="K17" i="16" s="1"/>
  <c r="M17" i="16" s="1"/>
  <c r="G98" i="10" l="1"/>
  <c r="G43" i="10"/>
  <c r="AL63" i="14" l="1"/>
  <c r="AM7" i="14"/>
  <c r="M152" i="14" l="1"/>
  <c r="L79" i="14"/>
  <c r="L100" i="14" s="1"/>
  <c r="M6" i="8" s="1"/>
  <c r="L30" i="14"/>
  <c r="E283" i="14" l="1"/>
  <c r="J89" i="14"/>
  <c r="J90" i="14"/>
  <c r="J91" i="14"/>
  <c r="E291" i="14"/>
  <c r="N291" i="14" s="1"/>
  <c r="H260" i="14" l="1"/>
  <c r="J260" i="14" s="1"/>
  <c r="J92" i="14"/>
  <c r="G75" i="10"/>
  <c r="G77" i="10"/>
  <c r="G61" i="10"/>
  <c r="G39" i="10"/>
  <c r="G35" i="10"/>
  <c r="G38" i="10"/>
  <c r="G36" i="10"/>
  <c r="G34" i="10"/>
  <c r="G28" i="10"/>
  <c r="G27" i="10"/>
  <c r="G26" i="10"/>
  <c r="G24" i="10"/>
  <c r="G23" i="10"/>
  <c r="AL218" i="14"/>
  <c r="AL198" i="14"/>
  <c r="AL197" i="14"/>
  <c r="AL196" i="14"/>
  <c r="AM138" i="14"/>
  <c r="AL32" i="14"/>
  <c r="AM42" i="14"/>
  <c r="G7" i="10"/>
  <c r="G6" i="10"/>
  <c r="G5" i="10"/>
  <c r="G290" i="14" l="1"/>
  <c r="H290" i="14"/>
  <c r="I290" i="14"/>
  <c r="F291" i="14"/>
  <c r="G291" i="14"/>
  <c r="H291" i="14"/>
  <c r="I291" i="14"/>
  <c r="E290" i="14"/>
  <c r="N290" i="14" s="1"/>
  <c r="F248" i="14"/>
  <c r="Q11" i="2"/>
  <c r="I8" i="16" s="1"/>
  <c r="B10" i="8"/>
  <c r="X10" i="8" s="1"/>
  <c r="B18" i="2" l="1"/>
  <c r="P11" i="2"/>
  <c r="H8" i="16" s="1"/>
  <c r="L291" i="14"/>
  <c r="M291" i="14" s="1"/>
  <c r="F199" i="14"/>
  <c r="AM197" i="14"/>
  <c r="AM196" i="14"/>
  <c r="AM195" i="14"/>
  <c r="M226" i="14"/>
  <c r="M225" i="14"/>
  <c r="I224" i="14"/>
  <c r="I242" i="14" s="1"/>
  <c r="H223" i="14"/>
  <c r="G222" i="14"/>
  <c r="G242" i="14" s="1"/>
  <c r="J225" i="14"/>
  <c r="J226" i="14"/>
  <c r="J227" i="14"/>
  <c r="AM227" i="14"/>
  <c r="AM226" i="14"/>
  <c r="AM225" i="14"/>
  <c r="AM224" i="14"/>
  <c r="AM223" i="14"/>
  <c r="AM222" i="14"/>
  <c r="J42" i="14"/>
  <c r="J43" i="14"/>
  <c r="J44" i="14"/>
  <c r="J127" i="14"/>
  <c r="J128" i="14"/>
  <c r="J129" i="14"/>
  <c r="J168" i="14"/>
  <c r="J169" i="14"/>
  <c r="J170" i="14"/>
  <c r="AM168" i="14"/>
  <c r="AM169" i="14"/>
  <c r="AM170" i="14"/>
  <c r="AM171" i="14"/>
  <c r="AM172" i="14"/>
  <c r="AM173" i="14"/>
  <c r="AM174" i="14"/>
  <c r="G173" i="14"/>
  <c r="H172" i="14"/>
  <c r="I171" i="14"/>
  <c r="F174" i="14"/>
  <c r="N170" i="14"/>
  <c r="M169" i="14"/>
  <c r="E168" i="14"/>
  <c r="E129" i="14"/>
  <c r="N128" i="14"/>
  <c r="N137" i="14" s="1"/>
  <c r="O7" i="8" s="1"/>
  <c r="M127" i="14"/>
  <c r="N90" i="14"/>
  <c r="N100" i="14" s="1"/>
  <c r="O6" i="8" s="1"/>
  <c r="M89" i="14"/>
  <c r="F123" i="14"/>
  <c r="I126" i="14"/>
  <c r="H125" i="14"/>
  <c r="G124" i="14"/>
  <c r="AM123" i="14"/>
  <c r="AM124" i="14"/>
  <c r="AM125" i="14"/>
  <c r="AM126" i="14"/>
  <c r="AM127" i="14"/>
  <c r="AM128" i="14"/>
  <c r="AM129" i="14"/>
  <c r="E91" i="14"/>
  <c r="AM85" i="14"/>
  <c r="AM86" i="14"/>
  <c r="AM87" i="14"/>
  <c r="AM88" i="14"/>
  <c r="AM89" i="14"/>
  <c r="AM90" i="14"/>
  <c r="AM91" i="14"/>
  <c r="N44" i="14"/>
  <c r="M43" i="14"/>
  <c r="M58" i="14" s="1"/>
  <c r="AM43" i="14"/>
  <c r="AM44" i="14"/>
  <c r="AM45" i="14"/>
  <c r="AM48" i="14"/>
  <c r="G47" i="14"/>
  <c r="H46" i="14"/>
  <c r="I45" i="14"/>
  <c r="AM46" i="14"/>
  <c r="AM47" i="14"/>
  <c r="E42" i="14"/>
  <c r="E248" i="14" s="1"/>
  <c r="AA48" i="14"/>
  <c r="J48" i="14"/>
  <c r="H283" i="14" l="1"/>
  <c r="H242" i="14"/>
  <c r="N7" i="8"/>
  <c r="M100" i="14"/>
  <c r="N6" i="8" s="1"/>
  <c r="M185" i="14"/>
  <c r="N8" i="8" s="1"/>
  <c r="N5" i="8"/>
  <c r="E256" i="14"/>
  <c r="E288" i="14" s="1"/>
  <c r="E270" i="14"/>
  <c r="E274" i="14" s="1"/>
  <c r="J86" i="14"/>
  <c r="G256" i="14"/>
  <c r="J87" i="14"/>
  <c r="H256" i="14"/>
  <c r="J123" i="14"/>
  <c r="F263" i="14"/>
  <c r="J224" i="14"/>
  <c r="I283" i="14"/>
  <c r="J47" i="14"/>
  <c r="G248" i="14"/>
  <c r="J126" i="14"/>
  <c r="I263" i="14"/>
  <c r="J124" i="14"/>
  <c r="G263" i="14"/>
  <c r="J45" i="14"/>
  <c r="I248" i="14"/>
  <c r="J46" i="14"/>
  <c r="H248" i="14"/>
  <c r="J85" i="14"/>
  <c r="F256" i="14"/>
  <c r="J125" i="14"/>
  <c r="H263" i="14"/>
  <c r="J222" i="14"/>
  <c r="G283" i="14"/>
  <c r="J283" i="14" s="1"/>
  <c r="J171" i="14"/>
  <c r="I270" i="14"/>
  <c r="J174" i="14"/>
  <c r="F270" i="14"/>
  <c r="J173" i="14"/>
  <c r="G270" i="14"/>
  <c r="J172" i="14"/>
  <c r="H270" i="14"/>
  <c r="J88" i="14"/>
  <c r="I256" i="14"/>
  <c r="E253" i="14"/>
  <c r="J223" i="14"/>
  <c r="J242" i="14" l="1"/>
  <c r="N288" i="14"/>
  <c r="G59" i="10"/>
  <c r="G56" i="10"/>
  <c r="G55" i="10"/>
  <c r="G54" i="10"/>
  <c r="G53" i="10"/>
  <c r="G42" i="10"/>
  <c r="G18" i="10"/>
  <c r="G19" i="10"/>
  <c r="G20" i="10"/>
  <c r="G16" i="10"/>
  <c r="G15" i="10"/>
  <c r="G14" i="10"/>
  <c r="G13" i="10"/>
  <c r="G12" i="10"/>
  <c r="G11" i="10"/>
  <c r="G10" i="10"/>
  <c r="G4" i="10"/>
  <c r="AM20" i="14" l="1"/>
  <c r="AM21" i="14"/>
  <c r="AM22" i="14"/>
  <c r="AM23" i="14"/>
  <c r="AM40" i="14"/>
  <c r="I30" i="12" l="1"/>
  <c r="F10" i="8" l="1"/>
  <c r="C12" i="8"/>
  <c r="K15" i="16" s="1"/>
  <c r="AL207" i="14" l="1"/>
  <c r="E221" i="14"/>
  <c r="AM164" i="14"/>
  <c r="AL160" i="14"/>
  <c r="C6" i="16" l="1"/>
  <c r="C10" i="16" s="1"/>
  <c r="AM65" i="14"/>
  <c r="AL66" i="14"/>
  <c r="AL34" i="14"/>
  <c r="AL33" i="14"/>
  <c r="AM32" i="14"/>
  <c r="F20" i="14"/>
  <c r="G38" i="14"/>
  <c r="F37" i="14"/>
  <c r="J38" i="14" l="1"/>
  <c r="F251" i="14"/>
  <c r="J37" i="14"/>
  <c r="D12" i="2" l="1"/>
  <c r="C17" i="2" s="1"/>
  <c r="C18" i="2" l="1"/>
  <c r="C19" i="2"/>
  <c r="C7" i="16" s="1"/>
  <c r="C11" i="16" s="1"/>
  <c r="F7" i="8"/>
  <c r="I29" i="12" l="1"/>
  <c r="J270" i="14"/>
  <c r="J271" i="14"/>
  <c r="J272" i="14"/>
  <c r="J281" i="14"/>
  <c r="J258" i="14"/>
  <c r="J291" i="14" s="1"/>
  <c r="AM217" i="14"/>
  <c r="AM218" i="14"/>
  <c r="AM219" i="14"/>
  <c r="AM220" i="14"/>
  <c r="AM221" i="14"/>
  <c r="J216" i="14"/>
  <c r="J221" i="14"/>
  <c r="K283" i="14"/>
  <c r="I220" i="14"/>
  <c r="J220" i="14" s="1"/>
  <c r="H219" i="14"/>
  <c r="J219" i="14" s="1"/>
  <c r="F218" i="14"/>
  <c r="J218" i="14" s="1"/>
  <c r="G217" i="14"/>
  <c r="I164" i="14"/>
  <c r="J164" i="14" s="1"/>
  <c r="H165" i="14"/>
  <c r="J165" i="14" s="1"/>
  <c r="G166" i="14"/>
  <c r="F167" i="14"/>
  <c r="J167" i="14" s="1"/>
  <c r="AM165" i="14"/>
  <c r="AM166" i="14"/>
  <c r="AM167" i="14"/>
  <c r="J41" i="14"/>
  <c r="J80" i="14"/>
  <c r="I122" i="14"/>
  <c r="I265" i="14" s="1"/>
  <c r="H121" i="14"/>
  <c r="J121" i="14" s="1"/>
  <c r="G120" i="14"/>
  <c r="J120" i="14" s="1"/>
  <c r="F119" i="14"/>
  <c r="J119" i="14" s="1"/>
  <c r="AM120" i="14"/>
  <c r="AM121" i="14"/>
  <c r="AM137" i="14" s="1"/>
  <c r="AM122" i="14"/>
  <c r="AM119" i="14"/>
  <c r="I84" i="14"/>
  <c r="H83" i="14"/>
  <c r="G82" i="14"/>
  <c r="F81" i="14"/>
  <c r="AM81" i="14"/>
  <c r="AM82" i="14"/>
  <c r="AM83" i="14"/>
  <c r="AM84" i="14"/>
  <c r="AK243" i="14"/>
  <c r="K41" i="14"/>
  <c r="K252" i="14" s="1"/>
  <c r="I40" i="14"/>
  <c r="I251" i="14" s="1"/>
  <c r="H39" i="14"/>
  <c r="H251" i="14" s="1"/>
  <c r="G251" i="14"/>
  <c r="AM37" i="14"/>
  <c r="AM38" i="14"/>
  <c r="AM39" i="14"/>
  <c r="AM41" i="14"/>
  <c r="AA38" i="14"/>
  <c r="AA39" i="14"/>
  <c r="AA40" i="14"/>
  <c r="AA41" i="14"/>
  <c r="AA37" i="14"/>
  <c r="AA36" i="14"/>
  <c r="J166" i="14" l="1"/>
  <c r="J217" i="14"/>
  <c r="J81" i="14"/>
  <c r="J82" i="14"/>
  <c r="J83" i="14"/>
  <c r="J84" i="14"/>
  <c r="F265" i="14"/>
  <c r="G259" i="14"/>
  <c r="G265" i="14"/>
  <c r="F282" i="14"/>
  <c r="F273" i="14"/>
  <c r="J251" i="14"/>
  <c r="G273" i="14"/>
  <c r="H259" i="14"/>
  <c r="G282" i="14"/>
  <c r="J122" i="14"/>
  <c r="I259" i="14"/>
  <c r="H282" i="14"/>
  <c r="H265" i="14"/>
  <c r="H273" i="14"/>
  <c r="F259" i="14"/>
  <c r="I282" i="14"/>
  <c r="I273" i="14"/>
  <c r="J39" i="14"/>
  <c r="J40" i="14"/>
  <c r="F261" i="14" l="1"/>
  <c r="J265" i="14"/>
  <c r="J273" i="14"/>
  <c r="J282" i="14"/>
  <c r="J259" i="14"/>
  <c r="K163" i="14" l="1"/>
  <c r="K272" i="14" s="1"/>
  <c r="AM163" i="14"/>
  <c r="K36" i="14" l="1"/>
  <c r="AM36" i="14"/>
  <c r="K35" i="14"/>
  <c r="AM35" i="14"/>
  <c r="E31" i="14" l="1"/>
  <c r="AM31" i="14"/>
  <c r="H66" i="14" l="1"/>
  <c r="H257" i="14" s="1"/>
  <c r="J257" i="14" s="1"/>
  <c r="K64" i="14"/>
  <c r="J211" i="14" l="1"/>
  <c r="K211" i="14"/>
  <c r="AL203" i="14"/>
  <c r="AL209" i="14"/>
  <c r="AL210" i="14"/>
  <c r="AL199" i="14"/>
  <c r="AM216" i="14"/>
  <c r="AM215" i="14"/>
  <c r="AM214" i="14"/>
  <c r="AM213" i="14"/>
  <c r="AM212" i="14"/>
  <c r="K216" i="14"/>
  <c r="K281" i="14" s="1"/>
  <c r="K290" i="14" s="1"/>
  <c r="O290" i="14" s="1"/>
  <c r="I215" i="14"/>
  <c r="J215" i="14" s="1"/>
  <c r="H214" i="14"/>
  <c r="H280" i="14" s="1"/>
  <c r="G213" i="14"/>
  <c r="J213" i="14" s="1"/>
  <c r="F212" i="14"/>
  <c r="J212" i="14" s="1"/>
  <c r="AM33" i="14"/>
  <c r="AL29" i="14"/>
  <c r="AL24" i="14"/>
  <c r="AL13" i="14"/>
  <c r="D39" i="12" l="1"/>
  <c r="G280" i="14"/>
  <c r="J214" i="14"/>
  <c r="I280" i="14"/>
  <c r="F280" i="14"/>
  <c r="F289" i="14" s="1"/>
  <c r="J280" i="14" l="1"/>
  <c r="Y11" i="8"/>
  <c r="Z11" i="8"/>
  <c r="AA11" i="8"/>
  <c r="AB11" i="8"/>
  <c r="AC11" i="8"/>
  <c r="AD11" i="8"/>
  <c r="X11" i="8"/>
  <c r="K116" i="14" l="1"/>
  <c r="Q114" i="14" l="1"/>
  <c r="Q137" i="14" l="1"/>
  <c r="R7" i="8" s="1"/>
  <c r="D10" i="8"/>
  <c r="D12" i="8" s="1"/>
  <c r="K16" i="16" s="1"/>
  <c r="M16" i="16" s="1"/>
  <c r="F12" i="8"/>
  <c r="J10" i="8"/>
  <c r="J12" i="8" s="1"/>
  <c r="K20" i="16" s="1"/>
  <c r="M20" i="16" s="1"/>
  <c r="H12" i="8"/>
  <c r="I12" i="8"/>
  <c r="G12" i="8" l="1"/>
  <c r="K19" i="16" s="1"/>
  <c r="M19" i="16" s="1"/>
  <c r="K17" i="14" l="1"/>
  <c r="J262" i="14"/>
  <c r="AL189" i="14"/>
  <c r="AL143" i="14"/>
  <c r="AL142" i="14"/>
  <c r="AL140" i="14"/>
  <c r="AL105" i="14"/>
  <c r="AL101" i="14"/>
  <c r="AL6" i="14"/>
  <c r="AL15" i="14"/>
  <c r="AL14" i="14"/>
  <c r="AM211" i="14"/>
  <c r="AM162" i="14"/>
  <c r="K162" i="14"/>
  <c r="K271" i="14" s="1"/>
  <c r="AM161" i="14"/>
  <c r="K161" i="14"/>
  <c r="K270" i="14" s="1"/>
  <c r="K80" i="14"/>
  <c r="K258" i="14" s="1"/>
  <c r="AM80" i="14"/>
  <c r="K34" i="14"/>
  <c r="K33" i="14"/>
  <c r="AM34" i="14"/>
  <c r="K291" i="14" l="1"/>
  <c r="O291" i="14" s="1"/>
  <c r="J279" i="14" l="1"/>
  <c r="J276" i="14"/>
  <c r="J275" i="14"/>
  <c r="J269" i="14"/>
  <c r="J264" i="14"/>
  <c r="J254" i="14"/>
  <c r="J250" i="14"/>
  <c r="AL106" i="14"/>
  <c r="I27" i="12" l="1"/>
  <c r="I8" i="12"/>
  <c r="T11" i="2" l="1"/>
  <c r="M199" i="14"/>
  <c r="P243" i="14" l="1"/>
  <c r="AM210" i="14"/>
  <c r="M210" i="14"/>
  <c r="N209" i="14"/>
  <c r="AM209" i="14"/>
  <c r="AM208" i="14"/>
  <c r="K201" i="14"/>
  <c r="K202" i="14"/>
  <c r="K205" i="14"/>
  <c r="K208" i="14"/>
  <c r="K279" i="14" s="1"/>
  <c r="K194" i="14"/>
  <c r="E207" i="14"/>
  <c r="F207" i="14"/>
  <c r="AM207" i="14"/>
  <c r="O9" i="8" l="1"/>
  <c r="Z9" i="8" s="1"/>
  <c r="N9" i="8"/>
  <c r="K278" i="14"/>
  <c r="J207" i="14"/>
  <c r="K147" i="14"/>
  <c r="K153" i="14"/>
  <c r="K154" i="14"/>
  <c r="K157" i="14"/>
  <c r="K160" i="14"/>
  <c r="K269" i="14" s="1"/>
  <c r="AM160" i="14"/>
  <c r="N10" i="8" l="1"/>
  <c r="N12" i="8" s="1"/>
  <c r="L15" i="16" s="1"/>
  <c r="M15" i="16" s="1"/>
  <c r="Y9" i="8"/>
  <c r="K284" i="14"/>
  <c r="K267" i="14"/>
  <c r="E190" i="14"/>
  <c r="E276" i="14" s="1"/>
  <c r="K32" i="14"/>
  <c r="K250" i="14" l="1"/>
  <c r="K289" i="14" s="1"/>
  <c r="O289" i="14" s="1"/>
  <c r="E29" i="14"/>
  <c r="AM24" i="14"/>
  <c r="AM159" i="14" l="1"/>
  <c r="E159" i="14"/>
  <c r="AM118" i="14"/>
  <c r="E118" i="14"/>
  <c r="AM79" i="14"/>
  <c r="G90" i="10" l="1"/>
  <c r="G71" i="10" l="1"/>
  <c r="G66" i="10"/>
  <c r="G65" i="10"/>
  <c r="G64" i="10"/>
  <c r="G68" i="10"/>
  <c r="G67" i="10"/>
  <c r="G58" i="10"/>
  <c r="G60" i="10"/>
  <c r="G49" i="10"/>
  <c r="G50" i="10"/>
  <c r="G51" i="10"/>
  <c r="G52" i="10"/>
  <c r="G48" i="10" l="1"/>
  <c r="G47" i="10"/>
  <c r="G25" i="10"/>
  <c r="G32" i="10"/>
  <c r="G41" i="10"/>
  <c r="G46" i="10"/>
  <c r="G70" i="10"/>
  <c r="F200" i="14" l="1"/>
  <c r="F201" i="14"/>
  <c r="F202" i="14"/>
  <c r="F203" i="14"/>
  <c r="J203" i="14" s="1"/>
  <c r="F204" i="14"/>
  <c r="F205" i="14"/>
  <c r="F206" i="14"/>
  <c r="AM206" i="14"/>
  <c r="L206" i="14"/>
  <c r="L158" i="14"/>
  <c r="AM158" i="14"/>
  <c r="L185" i="14" l="1"/>
  <c r="M8" i="8" s="1"/>
  <c r="L242" i="14"/>
  <c r="M9" i="8" s="1"/>
  <c r="J202" i="14"/>
  <c r="J205" i="14"/>
  <c r="J201" i="14"/>
  <c r="J204" i="14"/>
  <c r="J200" i="14"/>
  <c r="J206" i="14"/>
  <c r="L117" i="14"/>
  <c r="L137" i="14" s="1"/>
  <c r="M7" i="8" s="1"/>
  <c r="AM117" i="14"/>
  <c r="AM30" i="14"/>
  <c r="E204" i="14" l="1"/>
  <c r="Q203" i="14"/>
  <c r="AM201" i="14"/>
  <c r="AM202" i="14"/>
  <c r="AM203" i="14"/>
  <c r="AM204" i="14"/>
  <c r="AM205" i="14"/>
  <c r="E156" i="14"/>
  <c r="Q155" i="14"/>
  <c r="AM153" i="14"/>
  <c r="AM154" i="14"/>
  <c r="AM155" i="14"/>
  <c r="AM156" i="14"/>
  <c r="AM157" i="14"/>
  <c r="AM116" i="14"/>
  <c r="E115" i="14"/>
  <c r="AM115" i="14"/>
  <c r="K112" i="14"/>
  <c r="K113" i="14"/>
  <c r="K264" i="14"/>
  <c r="AM112" i="14"/>
  <c r="AM113" i="14"/>
  <c r="AM114" i="14"/>
  <c r="S243" i="14"/>
  <c r="E77" i="14"/>
  <c r="K78" i="14"/>
  <c r="K75" i="14"/>
  <c r="K76" i="14"/>
  <c r="AM75" i="14"/>
  <c r="AM76" i="14"/>
  <c r="AM77" i="14"/>
  <c r="AM78" i="14"/>
  <c r="K8" i="2" l="1"/>
  <c r="Q185" i="14"/>
  <c r="R8" i="8" s="1"/>
  <c r="Q242" i="14"/>
  <c r="R9" i="8" s="1"/>
  <c r="E25" i="14"/>
  <c r="E26" i="14"/>
  <c r="E27" i="14"/>
  <c r="E28" i="14"/>
  <c r="Q28" i="14"/>
  <c r="Q12" i="14"/>
  <c r="K25" i="14"/>
  <c r="K26" i="14"/>
  <c r="K27" i="14"/>
  <c r="AM26" i="14"/>
  <c r="AM27" i="14"/>
  <c r="AM28" i="14"/>
  <c r="AM29" i="14"/>
  <c r="AM25" i="14"/>
  <c r="Q58" i="14" l="1"/>
  <c r="R5" i="8" s="1"/>
  <c r="AC5" i="8" s="1"/>
  <c r="AM108" i="14"/>
  <c r="AM109" i="14"/>
  <c r="AM110" i="14"/>
  <c r="AM111" i="14"/>
  <c r="AM200" i="14" l="1"/>
  <c r="AA200" i="14"/>
  <c r="E200" i="14"/>
  <c r="J107" i="14"/>
  <c r="AA108" i="14"/>
  <c r="AA107" i="14"/>
  <c r="AA109" i="14"/>
  <c r="AA110" i="14"/>
  <c r="AA111" i="14"/>
  <c r="AM107" i="14"/>
  <c r="I111" i="14"/>
  <c r="H110" i="14"/>
  <c r="H137" i="14" s="1"/>
  <c r="G109" i="14"/>
  <c r="G137" i="14" s="1"/>
  <c r="F108" i="14"/>
  <c r="F137" i="14" s="1"/>
  <c r="K107" i="14"/>
  <c r="K137" i="14" s="1"/>
  <c r="AA70" i="14"/>
  <c r="AA71" i="14"/>
  <c r="AA72" i="14"/>
  <c r="AA73" i="14"/>
  <c r="AA74" i="14"/>
  <c r="J70" i="14"/>
  <c r="I74" i="14"/>
  <c r="H73" i="14"/>
  <c r="G72" i="14"/>
  <c r="F71" i="14"/>
  <c r="K70" i="14"/>
  <c r="AM70" i="14"/>
  <c r="AM71" i="14"/>
  <c r="AM72" i="14"/>
  <c r="AM73" i="14"/>
  <c r="AM74" i="14"/>
  <c r="H266" i="14" l="1"/>
  <c r="F266" i="14"/>
  <c r="G266" i="14"/>
  <c r="K263" i="14"/>
  <c r="K266" i="14" s="1"/>
  <c r="K256" i="14"/>
  <c r="K261" i="14" s="1"/>
  <c r="J111" i="14"/>
  <c r="J73" i="14"/>
  <c r="J74" i="14"/>
  <c r="J108" i="14"/>
  <c r="J72" i="14"/>
  <c r="J110" i="14"/>
  <c r="J71" i="14"/>
  <c r="J109" i="14"/>
  <c r="J263" i="14" l="1"/>
  <c r="J256" i="14"/>
  <c r="AM199" i="14"/>
  <c r="AA199" i="14"/>
  <c r="J199" i="14" s="1"/>
  <c r="AM198" i="14"/>
  <c r="AA198" i="14"/>
  <c r="I198" i="14"/>
  <c r="AA197" i="14"/>
  <c r="H197" i="14"/>
  <c r="AA196" i="14"/>
  <c r="G196" i="14"/>
  <c r="AA195" i="14"/>
  <c r="F195" i="14"/>
  <c r="AM194" i="14"/>
  <c r="AM152" i="14"/>
  <c r="AA152" i="14"/>
  <c r="F152" i="14"/>
  <c r="AM151" i="14"/>
  <c r="AA151" i="14"/>
  <c r="H151" i="14"/>
  <c r="H268" i="14" s="1"/>
  <c r="AM150" i="14"/>
  <c r="AA150" i="14"/>
  <c r="I150" i="14"/>
  <c r="I268" i="14" s="1"/>
  <c r="F150" i="14"/>
  <c r="AM149" i="14"/>
  <c r="AA149" i="14"/>
  <c r="G267" i="14"/>
  <c r="AM148" i="14"/>
  <c r="AA148" i="14"/>
  <c r="AM147" i="14"/>
  <c r="AM146" i="14"/>
  <c r="AA146" i="14"/>
  <c r="G146" i="14"/>
  <c r="F146" i="14"/>
  <c r="AM145" i="14"/>
  <c r="AA145" i="14"/>
  <c r="H145" i="14"/>
  <c r="AM144" i="14"/>
  <c r="AA144" i="14"/>
  <c r="I144" i="14"/>
  <c r="F144" i="14"/>
  <c r="AM106" i="14"/>
  <c r="AA106" i="14"/>
  <c r="I106" i="14"/>
  <c r="K67" i="14"/>
  <c r="K66" i="14"/>
  <c r="K68" i="14"/>
  <c r="K69" i="14"/>
  <c r="AM66" i="14"/>
  <c r="AA66" i="14"/>
  <c r="AM68" i="14"/>
  <c r="AA68" i="14"/>
  <c r="I68" i="14"/>
  <c r="H68" i="14"/>
  <c r="AM69" i="14"/>
  <c r="AA69" i="14"/>
  <c r="I69" i="14"/>
  <c r="H69" i="14"/>
  <c r="G69" i="14"/>
  <c r="I185" i="14" l="1"/>
  <c r="H185" i="14"/>
  <c r="G278" i="14"/>
  <c r="F278" i="14"/>
  <c r="J151" i="14"/>
  <c r="H274" i="14"/>
  <c r="J149" i="14"/>
  <c r="J148" i="14"/>
  <c r="I274" i="14"/>
  <c r="H278" i="14"/>
  <c r="H284" i="14" s="1"/>
  <c r="N9" i="2"/>
  <c r="I278" i="14"/>
  <c r="I284" i="14" s="1"/>
  <c r="F267" i="14"/>
  <c r="J268" i="14"/>
  <c r="J195" i="14"/>
  <c r="J196" i="14"/>
  <c r="J66" i="14"/>
  <c r="J197" i="14"/>
  <c r="J198" i="14"/>
  <c r="J145" i="14"/>
  <c r="J69" i="14"/>
  <c r="J68" i="14"/>
  <c r="J106" i="14"/>
  <c r="J146" i="14"/>
  <c r="J144" i="14"/>
  <c r="F274" i="14" l="1"/>
  <c r="F288" i="14"/>
  <c r="G284" i="14"/>
  <c r="G288" i="14"/>
  <c r="J278" i="14"/>
  <c r="J267" i="14"/>
  <c r="AA16" i="14"/>
  <c r="AA17" i="14"/>
  <c r="AA18" i="14"/>
  <c r="AA19" i="14"/>
  <c r="AA20" i="14"/>
  <c r="AA21" i="14"/>
  <c r="AA22" i="14"/>
  <c r="AA23" i="14"/>
  <c r="I23" i="14"/>
  <c r="I58" i="14" s="1"/>
  <c r="O5" i="2" s="1"/>
  <c r="F21" i="14"/>
  <c r="F22" i="14"/>
  <c r="F23" i="14"/>
  <c r="H22" i="14"/>
  <c r="H58" i="14" s="1"/>
  <c r="G21" i="14"/>
  <c r="G58" i="14" s="1"/>
  <c r="F19" i="14"/>
  <c r="F18" i="14"/>
  <c r="F17" i="14"/>
  <c r="F16" i="14"/>
  <c r="K19" i="14"/>
  <c r="O18" i="14"/>
  <c r="O16" i="14"/>
  <c r="AM16" i="14"/>
  <c r="AM17" i="14"/>
  <c r="AM18" i="14"/>
  <c r="AM19" i="14"/>
  <c r="F58" i="14" l="1"/>
  <c r="H249" i="14"/>
  <c r="H253" i="14" s="1"/>
  <c r="I249" i="14"/>
  <c r="I253" i="14" s="1"/>
  <c r="K248" i="14"/>
  <c r="K288" i="14" s="1"/>
  <c r="G253" i="14"/>
  <c r="J17" i="14"/>
  <c r="J21" i="14"/>
  <c r="J19" i="14"/>
  <c r="J23" i="14"/>
  <c r="J16" i="14"/>
  <c r="J20" i="14"/>
  <c r="J22" i="14"/>
  <c r="I288" i="14" l="1"/>
  <c r="H288" i="14"/>
  <c r="O288" i="14"/>
  <c r="O292" i="14" s="1"/>
  <c r="K292" i="14"/>
  <c r="K293" i="14" s="1"/>
  <c r="F253" i="14"/>
  <c r="K253" i="14"/>
  <c r="J248" i="14"/>
  <c r="J249" i="14"/>
  <c r="AA193" i="14"/>
  <c r="AA192" i="14"/>
  <c r="AA191" i="14"/>
  <c r="AA189" i="14"/>
  <c r="AA188" i="14"/>
  <c r="AA143" i="14"/>
  <c r="AA105" i="14"/>
  <c r="AA67" i="14"/>
  <c r="AA65" i="14"/>
  <c r="AA64" i="14"/>
  <c r="AA63" i="14"/>
  <c r="AA61" i="14"/>
  <c r="AA62" i="14"/>
  <c r="AA60" i="14"/>
  <c r="AA15" i="14"/>
  <c r="AA14" i="14"/>
  <c r="AA13" i="14"/>
  <c r="AA10" i="14"/>
  <c r="AA11" i="14"/>
  <c r="AA12" i="14"/>
  <c r="J103" i="14"/>
  <c r="J61" i="14"/>
  <c r="J62" i="14"/>
  <c r="J60" i="14"/>
  <c r="J7" i="14"/>
  <c r="J188" i="14"/>
  <c r="J186" i="14"/>
  <c r="AM193" i="14"/>
  <c r="F193" i="14"/>
  <c r="F277" i="14" s="1"/>
  <c r="F290" i="14" s="1"/>
  <c r="L290" i="14" s="1"/>
  <c r="M290" i="14" s="1"/>
  <c r="F143" i="14"/>
  <c r="K143" i="14"/>
  <c r="L288" i="14" l="1"/>
  <c r="M288" i="14" s="1"/>
  <c r="F185" i="14"/>
  <c r="L8" i="2" s="1"/>
  <c r="J288" i="14"/>
  <c r="J253" i="14"/>
  <c r="J193" i="14"/>
  <c r="J277" i="14"/>
  <c r="G64" i="14"/>
  <c r="G100" i="14" s="1"/>
  <c r="I67" i="14"/>
  <c r="H65" i="14"/>
  <c r="I64" i="14"/>
  <c r="K63" i="14"/>
  <c r="K100" i="14" s="1"/>
  <c r="I63" i="14"/>
  <c r="H64" i="14"/>
  <c r="H67" i="14"/>
  <c r="H63" i="14"/>
  <c r="H100" i="14" s="1"/>
  <c r="AM64" i="14"/>
  <c r="AM67" i="14"/>
  <c r="E63" i="14"/>
  <c r="E100" i="14" s="1"/>
  <c r="AM63" i="14"/>
  <c r="K6" i="2" l="1"/>
  <c r="E243" i="14"/>
  <c r="I100" i="14"/>
  <c r="J290" i="14"/>
  <c r="J284" i="14"/>
  <c r="Q6" i="2"/>
  <c r="G255" i="14"/>
  <c r="H255" i="14"/>
  <c r="E254" i="14"/>
  <c r="I255" i="14"/>
  <c r="J63" i="14"/>
  <c r="J67" i="14"/>
  <c r="J65" i="14"/>
  <c r="J64" i="14"/>
  <c r="H289" i="14" l="1"/>
  <c r="H261" i="14"/>
  <c r="H285" i="14" s="1"/>
  <c r="G261" i="14"/>
  <c r="G289" i="14"/>
  <c r="I289" i="14"/>
  <c r="I261" i="14"/>
  <c r="E261" i="14"/>
  <c r="J255" i="14"/>
  <c r="J289" i="14" l="1"/>
  <c r="J261" i="14"/>
  <c r="L289" i="14"/>
  <c r="M289" i="14" s="1"/>
  <c r="M292" i="14" s="1"/>
  <c r="AL8" i="14"/>
  <c r="N142" i="14" l="1"/>
  <c r="N185" i="14" l="1"/>
  <c r="O8" i="8" s="1"/>
  <c r="J12" i="14"/>
  <c r="AA17" i="2" l="1"/>
  <c r="L20" i="2" l="1"/>
  <c r="H9" i="16" s="1"/>
  <c r="K8" i="14"/>
  <c r="Q5" i="2" l="1"/>
  <c r="AM190" i="14"/>
  <c r="AM101" i="14"/>
  <c r="AM192" i="14" l="1"/>
  <c r="G192" i="14"/>
  <c r="AM191" i="14"/>
  <c r="F191" i="14"/>
  <c r="F243" i="14" s="1"/>
  <c r="AM143" i="14"/>
  <c r="G143" i="14"/>
  <c r="G185" i="14" s="1"/>
  <c r="J191" i="14" l="1"/>
  <c r="J143" i="14"/>
  <c r="J192" i="14"/>
  <c r="F284" i="14" l="1"/>
  <c r="F285" i="14" s="1"/>
  <c r="J274" i="14"/>
  <c r="G274" i="14"/>
  <c r="G285" i="14" s="1"/>
  <c r="I25" i="12" l="1"/>
  <c r="G99" i="10" l="1"/>
  <c r="G101" i="10"/>
  <c r="I101" i="14" l="1"/>
  <c r="I137" i="14" s="1"/>
  <c r="I243" i="14" l="1"/>
  <c r="I266" i="14" l="1"/>
  <c r="I285" i="14" s="1"/>
  <c r="C18" i="9"/>
  <c r="J266" i="14" l="1"/>
  <c r="J285" i="14" s="1"/>
  <c r="G82" i="10"/>
  <c r="G88" i="10"/>
  <c r="J189" i="14" l="1"/>
  <c r="AM189" i="14"/>
  <c r="AB8" i="8"/>
  <c r="O141" i="14"/>
  <c r="AM141" i="14"/>
  <c r="AM142" i="14"/>
  <c r="AM139" i="14"/>
  <c r="AM140" i="14"/>
  <c r="AM105" i="14"/>
  <c r="AM103" i="14"/>
  <c r="AM104" i="14"/>
  <c r="AB6" i="8"/>
  <c r="AM60" i="14"/>
  <c r="AM61" i="14"/>
  <c r="AM62" i="14"/>
  <c r="AM15" i="14"/>
  <c r="Z6" i="8" l="1"/>
  <c r="Y6" i="8"/>
  <c r="AG243" i="14"/>
  <c r="X243" i="14"/>
  <c r="AI243" i="14"/>
  <c r="Z243" i="14"/>
  <c r="AE243" i="14"/>
  <c r="AJ243" i="14"/>
  <c r="AF243" i="14"/>
  <c r="AB243" i="14"/>
  <c r="W243" i="14"/>
  <c r="AH243" i="14"/>
  <c r="AD243" i="14"/>
  <c r="Y243" i="14"/>
  <c r="R243" i="14"/>
  <c r="G95" i="10" l="1"/>
  <c r="G73" i="10"/>
  <c r="G79" i="10"/>
  <c r="J15" i="14"/>
  <c r="J14" i="14"/>
  <c r="AM14" i="14"/>
  <c r="AM10" i="14"/>
  <c r="AM11" i="14"/>
  <c r="AM12" i="14"/>
  <c r="AM9" i="14"/>
  <c r="J13" i="14"/>
  <c r="K140" i="14" l="1"/>
  <c r="G76" i="10" l="1"/>
  <c r="AM188" i="14"/>
  <c r="AM187" i="14"/>
  <c r="O188" i="14"/>
  <c r="K274" i="14" l="1"/>
  <c r="K285" i="14" s="1"/>
  <c r="Q8" i="2"/>
  <c r="Q10" i="2" s="1"/>
  <c r="AC9" i="8"/>
  <c r="M9" i="2"/>
  <c r="O139" i="14"/>
  <c r="AB9" i="8" l="1"/>
  <c r="O104" i="14"/>
  <c r="Q62" i="14"/>
  <c r="Q100" i="14" s="1"/>
  <c r="R6" i="8" s="1"/>
  <c r="R10" i="8" s="1"/>
  <c r="R12" i="8" s="1"/>
  <c r="T61" i="14"/>
  <c r="T100" i="14" s="1"/>
  <c r="U6" i="8" s="1"/>
  <c r="O60" i="14"/>
  <c r="T11" i="14" l="1"/>
  <c r="T10" i="14"/>
  <c r="O9" i="14"/>
  <c r="J9" i="14"/>
  <c r="J10" i="14"/>
  <c r="J11" i="14"/>
  <c r="T58" i="14" l="1"/>
  <c r="U5" i="8" s="1"/>
  <c r="U10" i="8" s="1"/>
  <c r="U12" i="8" s="1"/>
  <c r="AC6" i="8"/>
  <c r="K243" i="14"/>
  <c r="E103" i="14" l="1"/>
  <c r="E262" i="14" l="1"/>
  <c r="AD7" i="8"/>
  <c r="AD6" i="8"/>
  <c r="AD8" i="8"/>
  <c r="AD9" i="8"/>
  <c r="AD5" i="8" l="1"/>
  <c r="E266" i="14"/>
  <c r="T243" i="14"/>
  <c r="AD10" i="8" l="1"/>
  <c r="AD12" i="8" s="1"/>
  <c r="AA187" i="14"/>
  <c r="J187" i="14"/>
  <c r="E187" i="14"/>
  <c r="E275" i="14" l="1"/>
  <c r="E289" i="14" s="1"/>
  <c r="E292" i="14" s="1"/>
  <c r="E293" i="14" s="1"/>
  <c r="N289" i="14" l="1"/>
  <c r="N292" i="14" s="1"/>
  <c r="E284" i="14"/>
  <c r="E285" i="14" s="1"/>
  <c r="G72" i="10"/>
  <c r="I23" i="12" l="1"/>
  <c r="I19" i="12" l="1"/>
  <c r="X7" i="8" l="1"/>
  <c r="O186" i="14" l="1"/>
  <c r="AM186" i="14"/>
  <c r="AA186" i="14"/>
  <c r="AA242" i="14" s="1"/>
  <c r="O138" i="14"/>
  <c r="AA138" i="14"/>
  <c r="AA185" i="14" s="1"/>
  <c r="J138" i="14"/>
  <c r="J185" i="14" s="1"/>
  <c r="Q7" i="2"/>
  <c r="O102" i="14"/>
  <c r="O137" i="14" s="1"/>
  <c r="P7" i="8" s="1"/>
  <c r="AM102" i="14"/>
  <c r="AA102" i="14"/>
  <c r="Q243" i="14"/>
  <c r="AA101" i="14"/>
  <c r="H243" i="14"/>
  <c r="J102" i="14"/>
  <c r="G243" i="14"/>
  <c r="O100" i="14"/>
  <c r="P6" i="8" s="1"/>
  <c r="AA59" i="14"/>
  <c r="AA100" i="14" s="1"/>
  <c r="J59" i="14"/>
  <c r="J100" i="14" s="1"/>
  <c r="AM8" i="14"/>
  <c r="AA8" i="14"/>
  <c r="J8" i="14"/>
  <c r="O7" i="14"/>
  <c r="AA7" i="14"/>
  <c r="O185" i="14" l="1"/>
  <c r="P8" i="8" s="1"/>
  <c r="O242" i="14"/>
  <c r="P9" i="8" s="1"/>
  <c r="O58" i="14"/>
  <c r="P5" i="8" s="1"/>
  <c r="AA137" i="14"/>
  <c r="AB5" i="8"/>
  <c r="X8" i="8"/>
  <c r="AC8" i="8"/>
  <c r="Q9" i="2"/>
  <c r="Q12" i="2" s="1"/>
  <c r="O7" i="2"/>
  <c r="L9" i="2"/>
  <c r="N5" i="2"/>
  <c r="N7" i="2"/>
  <c r="O8" i="2"/>
  <c r="M7" i="2"/>
  <c r="L7" i="2"/>
  <c r="X6" i="8"/>
  <c r="M6" i="2"/>
  <c r="AA6" i="8"/>
  <c r="L6" i="2"/>
  <c r="U6" i="2" s="1"/>
  <c r="N6" i="2"/>
  <c r="M5" i="2"/>
  <c r="O6" i="2"/>
  <c r="J101" i="14"/>
  <c r="J137" i="14" s="1"/>
  <c r="Q17" i="2" l="1"/>
  <c r="I6" i="16"/>
  <c r="I10" i="16" s="1"/>
  <c r="P10" i="8"/>
  <c r="P12" i="8" s="1"/>
  <c r="AC7" i="8"/>
  <c r="AA5" i="8"/>
  <c r="O243" i="14"/>
  <c r="P7" i="2"/>
  <c r="L5" i="2"/>
  <c r="P6" i="2"/>
  <c r="N8" i="2"/>
  <c r="M8" i="2"/>
  <c r="P8" i="2" s="1"/>
  <c r="Z17" i="2"/>
  <c r="Q18" i="2" l="1"/>
  <c r="N12" i="2"/>
  <c r="M12" i="2" l="1"/>
  <c r="L12" i="2"/>
  <c r="I24" i="12" l="1"/>
  <c r="I22" i="12" l="1"/>
  <c r="I20" i="12"/>
  <c r="I21" i="12"/>
  <c r="Z7" i="8" l="1"/>
  <c r="M243" i="14" l="1"/>
  <c r="AB7" i="8" l="1"/>
  <c r="AC10" i="8"/>
  <c r="AC12" i="8" s="1"/>
  <c r="Y7" i="8"/>
  <c r="O9" i="2"/>
  <c r="P9" i="2" s="1"/>
  <c r="AA7" i="8" l="1"/>
  <c r="AB10" i="8"/>
  <c r="AB12" i="8" s="1"/>
  <c r="D23" i="9"/>
  <c r="D22" i="9"/>
  <c r="D21" i="9"/>
  <c r="D20" i="9"/>
  <c r="D19" i="9"/>
  <c r="D18" i="9"/>
  <c r="E18" i="9" s="1"/>
  <c r="D17" i="9"/>
  <c r="H23" i="9"/>
  <c r="H22" i="9"/>
  <c r="C22" i="9" l="1"/>
  <c r="N6" i="14"/>
  <c r="AM6" i="14"/>
  <c r="N58" i="14" l="1"/>
  <c r="O5" i="8" s="1"/>
  <c r="O10" i="8" s="1"/>
  <c r="O12" i="8" s="1"/>
  <c r="Y8" i="8"/>
  <c r="Z8" i="8"/>
  <c r="AA8" i="8" l="1"/>
  <c r="N243" i="14"/>
  <c r="T8" i="2"/>
  <c r="J6" i="14"/>
  <c r="J58" i="14" s="1"/>
  <c r="AA6" i="14"/>
  <c r="AA58" i="14" s="1"/>
  <c r="J243" i="14" l="1"/>
  <c r="Y5" i="8"/>
  <c r="Z5" i="8"/>
  <c r="AA10" i="8"/>
  <c r="AA12" i="8" s="1"/>
  <c r="P5" i="2"/>
  <c r="K9" i="2"/>
  <c r="G23" i="9"/>
  <c r="I23" i="9" s="1"/>
  <c r="T9" i="2" l="1"/>
  <c r="Y10" i="8"/>
  <c r="Y12" i="8" s="1"/>
  <c r="Z10" i="8"/>
  <c r="Z12" i="8" s="1"/>
  <c r="P10" i="2"/>
  <c r="E22" i="9"/>
  <c r="G22" i="9"/>
  <c r="I22" i="9" s="1"/>
  <c r="H6" i="16" l="1"/>
  <c r="H10" i="16" s="1"/>
  <c r="L19" i="2"/>
  <c r="H7" i="16" s="1"/>
  <c r="H11" i="16" s="1"/>
  <c r="Q19" i="2"/>
  <c r="I7" i="16" s="1"/>
  <c r="I11" i="16" s="1"/>
  <c r="O12" i="2"/>
  <c r="K22" i="9"/>
  <c r="P12" i="2" l="1"/>
  <c r="L17" i="2"/>
  <c r="L18" i="2" s="1"/>
  <c r="J12" i="9" s="1"/>
  <c r="I18" i="12"/>
  <c r="I17" i="12"/>
  <c r="I16" i="12" l="1"/>
  <c r="I15" i="12"/>
  <c r="I13" i="12"/>
  <c r="I14" i="12"/>
  <c r="I11" i="12" l="1"/>
  <c r="I7" i="12"/>
  <c r="I12" i="12"/>
  <c r="I9" i="12"/>
  <c r="I10" i="12"/>
  <c r="D12" i="9" l="1"/>
  <c r="Z7" i="2" l="1"/>
  <c r="X7" i="2"/>
  <c r="W7" i="2"/>
  <c r="V7" i="2"/>
  <c r="U7" i="2"/>
  <c r="T7" i="2"/>
  <c r="Y7" i="2" l="1"/>
  <c r="AA7" i="2"/>
  <c r="H21" i="9" l="1"/>
  <c r="H20" i="9"/>
  <c r="H19" i="9"/>
  <c r="H18" i="9"/>
  <c r="H17" i="9"/>
  <c r="K7" i="9"/>
  <c r="D8" i="9"/>
  <c r="W11" i="2" l="1"/>
  <c r="V11" i="2"/>
  <c r="X9" i="2"/>
  <c r="W9" i="2"/>
  <c r="V9" i="2"/>
  <c r="U9" i="2"/>
  <c r="X8" i="2"/>
  <c r="W8" i="2"/>
  <c r="V8" i="2"/>
  <c r="U8" i="2"/>
  <c r="Z6" i="2"/>
  <c r="X6" i="2"/>
  <c r="W6" i="2"/>
  <c r="V6" i="2"/>
  <c r="Z5" i="2"/>
  <c r="X5" i="2"/>
  <c r="W5" i="2"/>
  <c r="V5" i="2"/>
  <c r="U5" i="2"/>
  <c r="AA5" i="2" l="1"/>
  <c r="Y6" i="2"/>
  <c r="Y8" i="2"/>
  <c r="Y9" i="2"/>
  <c r="U11" i="2"/>
  <c r="H8" i="9"/>
  <c r="Z11" i="2"/>
  <c r="G8" i="9"/>
  <c r="X11" i="2"/>
  <c r="C8" i="9"/>
  <c r="C11" i="9"/>
  <c r="C10" i="9"/>
  <c r="C9" i="9"/>
  <c r="AA6" i="2"/>
  <c r="AA9" i="2"/>
  <c r="AA8" i="2"/>
  <c r="V10" i="2"/>
  <c r="X10" i="2"/>
  <c r="Y5" i="2"/>
  <c r="U10" i="2"/>
  <c r="W10" i="2"/>
  <c r="Y11" i="2"/>
  <c r="F12" i="9" l="1"/>
  <c r="L12" i="9" s="1"/>
  <c r="C12" i="9"/>
  <c r="E22" i="2"/>
  <c r="I8" i="9"/>
  <c r="Y10" i="2"/>
  <c r="E8" i="9"/>
  <c r="V12" i="2"/>
  <c r="W12" i="2"/>
  <c r="AA11" i="2"/>
  <c r="AA10" i="2"/>
  <c r="U12" i="2"/>
  <c r="D22" i="2" l="1"/>
  <c r="F22" i="2"/>
  <c r="K8" i="9"/>
  <c r="Y12" i="2"/>
  <c r="D14" i="9" l="1"/>
  <c r="F8" i="9" l="1"/>
  <c r="J8" i="9"/>
  <c r="H13" i="9"/>
  <c r="D13" i="9"/>
  <c r="H10" i="9"/>
  <c r="H9" i="9"/>
  <c r="D11" i="9"/>
  <c r="D10" i="9"/>
  <c r="D9" i="9"/>
  <c r="L8" i="9" l="1"/>
  <c r="G21" i="9" l="1"/>
  <c r="I21" i="9" s="1"/>
  <c r="G20" i="9"/>
  <c r="I20" i="9" s="1"/>
  <c r="G19" i="9"/>
  <c r="I19" i="9" s="1"/>
  <c r="G18" i="9"/>
  <c r="C20" i="9"/>
  <c r="C23" i="9" l="1"/>
  <c r="E23" i="9" s="1"/>
  <c r="K23" i="9" s="1"/>
  <c r="C17" i="9"/>
  <c r="E20" i="9"/>
  <c r="K20" i="9" s="1"/>
  <c r="C21" i="9" l="1"/>
  <c r="E21" i="9" s="1"/>
  <c r="K21" i="9" s="1"/>
  <c r="C19" i="9"/>
  <c r="E19" i="9" s="1"/>
  <c r="K19" i="9" s="1"/>
  <c r="I18" i="9"/>
  <c r="K18" i="9" s="1"/>
  <c r="E17" i="9"/>
  <c r="H11" i="9" l="1"/>
  <c r="H12" i="9"/>
  <c r="G11" i="9" l="1"/>
  <c r="I11" i="9" s="1"/>
  <c r="J11" i="9" s="1"/>
  <c r="G9" i="9"/>
  <c r="I9" i="9" s="1"/>
  <c r="J9" i="9" s="1"/>
  <c r="G10" i="9"/>
  <c r="I10" i="9" s="1"/>
  <c r="J10" i="9" l="1"/>
  <c r="I12" i="9"/>
  <c r="G12" i="9"/>
  <c r="H14" i="9" l="1"/>
  <c r="C13" i="9"/>
  <c r="C14" i="9"/>
  <c r="E13" i="9" l="1"/>
  <c r="E14" i="9" l="1"/>
  <c r="E9" i="9"/>
  <c r="F9" i="9" s="1"/>
  <c r="E10" i="9"/>
  <c r="F13" i="9" l="1"/>
  <c r="K9" i="9"/>
  <c r="L9" i="9"/>
  <c r="K10" i="9"/>
  <c r="F10" i="9"/>
  <c r="L10" i="9" s="1"/>
  <c r="E12" i="9"/>
  <c r="K12" i="9" s="1"/>
  <c r="F14" i="9" l="1"/>
  <c r="X12" i="2" l="1"/>
  <c r="AA12" i="2" s="1"/>
  <c r="AA13" i="2" s="1"/>
  <c r="E11" i="9"/>
  <c r="K11" i="9" s="1"/>
  <c r="F11" i="9" l="1"/>
  <c r="L11" i="9" s="1"/>
  <c r="Z9" i="2" l="1"/>
  <c r="Z10" i="2" l="1"/>
  <c r="G13" i="9"/>
  <c r="I13" i="9" l="1"/>
  <c r="Z12" i="2"/>
  <c r="Z13" i="2" s="1"/>
  <c r="K13" i="9" l="1"/>
  <c r="J13" i="9"/>
  <c r="L13" i="9" s="1"/>
  <c r="T6" i="2" l="1"/>
  <c r="AC243" i="14" l="1"/>
  <c r="AA243" i="14" l="1"/>
  <c r="AM13" i="14" l="1"/>
  <c r="L13" i="14"/>
  <c r="L58" i="14" l="1"/>
  <c r="M5" i="8" s="1"/>
  <c r="M10" i="8" l="1"/>
  <c r="G17" i="9" s="1"/>
  <c r="I17" i="9" s="1"/>
  <c r="K17" i="9" s="1"/>
  <c r="X5" i="8"/>
  <c r="X9" i="8"/>
  <c r="M12" i="8" l="1"/>
  <c r="K5" i="2" l="1"/>
  <c r="T5" i="2" l="1"/>
  <c r="K12" i="2"/>
  <c r="G14" i="9"/>
  <c r="T10" i="2" l="1"/>
  <c r="K19" i="2"/>
  <c r="G7" i="16" s="1"/>
  <c r="G11" i="16" s="1"/>
  <c r="G6" i="16"/>
  <c r="G10" i="16" s="1"/>
  <c r="I14" i="9"/>
  <c r="K17" i="2"/>
  <c r="K18" i="2" s="1"/>
  <c r="T12" i="2"/>
  <c r="T13" i="2" s="1"/>
  <c r="J14" i="9" l="1"/>
  <c r="L14" i="9" s="1"/>
  <c r="K14" i="9"/>
</calcChain>
</file>

<file path=xl/sharedStrings.xml><?xml version="1.0" encoding="utf-8"?>
<sst xmlns="http://schemas.openxmlformats.org/spreadsheetml/2006/main" count="2306" uniqueCount="696">
  <si>
    <t>RDTs and ACTS ON ORDER AS REFLECTED BY mSUPPLY and Global Fund</t>
  </si>
  <si>
    <t>AMS</t>
  </si>
  <si>
    <t>RDTS</t>
  </si>
  <si>
    <t>ACT 6</t>
  </si>
  <si>
    <t>ACT 12</t>
  </si>
  <si>
    <t>ACT 18</t>
  </si>
  <si>
    <t>ACT 24</t>
  </si>
  <si>
    <t>Total ACTs</t>
  </si>
  <si>
    <t>Badili</t>
  </si>
  <si>
    <t>Hagen</t>
  </si>
  <si>
    <t>Lae</t>
  </si>
  <si>
    <t>Kokopo</t>
  </si>
  <si>
    <t>Wewak</t>
  </si>
  <si>
    <t>Total NDoH</t>
  </si>
  <si>
    <t>RAM</t>
  </si>
  <si>
    <t>Total</t>
  </si>
  <si>
    <t>Actual Ratio of ACTs</t>
  </si>
  <si>
    <t>Desired Ratio of ACTs</t>
  </si>
  <si>
    <t>Price GF (US$)</t>
  </si>
  <si>
    <t>Primaquine Tablet</t>
  </si>
  <si>
    <t>Estimated Annual Consumption</t>
  </si>
  <si>
    <t>Estimated Monthly Consumptioin</t>
  </si>
  <si>
    <t>Thresholds For New Orders</t>
  </si>
  <si>
    <t>ACT6s Equivalents</t>
  </si>
  <si>
    <t>TOTAL</t>
  </si>
  <si>
    <t>BADILI</t>
  </si>
  <si>
    <t>HAGEN</t>
  </si>
  <si>
    <t>KOKOPO</t>
  </si>
  <si>
    <t>LAE</t>
  </si>
  <si>
    <t>Rapid Diagnostic Test (RDT) for Malaria, Pack/25</t>
  </si>
  <si>
    <t>RDT</t>
  </si>
  <si>
    <t>TABLET</t>
  </si>
  <si>
    <t>MONTHS OF STOCK ON HAND</t>
  </si>
  <si>
    <t>PQ</t>
  </si>
  <si>
    <t>SP (Sulphadoxine 500mg + Pyrimethamine 25mg Tab)</t>
  </si>
  <si>
    <t>Artemether Injection 80mg/ml (Amp)</t>
  </si>
  <si>
    <t>Artemether Injection 40mg/ml (Amp)</t>
  </si>
  <si>
    <t>Quinine 300mg Tablet</t>
  </si>
  <si>
    <t>Quinine Injection 600mg Vial</t>
  </si>
  <si>
    <t xml:space="preserve">ON ORDER AS REFLECTED BY mSUPPLY </t>
  </si>
  <si>
    <t>STOCK ON HAND</t>
  </si>
  <si>
    <t>ITEM</t>
  </si>
  <si>
    <t>PACK SIZE</t>
  </si>
  <si>
    <t>NDoH</t>
  </si>
  <si>
    <t>GF/RAM</t>
  </si>
  <si>
    <t>QUANTITY</t>
  </si>
  <si>
    <t>PRIMAQUINE</t>
  </si>
  <si>
    <t>ARTEMETHER INJ. 80MG</t>
  </si>
  <si>
    <t>ARTEMETHER INJ. 40MG</t>
  </si>
  <si>
    <t>QUININE TAB 300MG</t>
  </si>
  <si>
    <t>QUININE INJ. 600 INJ.</t>
  </si>
  <si>
    <t>OTHER ANTI-MALARIAL DRUGS</t>
  </si>
  <si>
    <t>INDIVIDUAL TEST KIT</t>
  </si>
  <si>
    <t>ACT 6 TABS</t>
  </si>
  <si>
    <t>ACT 24 TABS</t>
  </si>
  <si>
    <t>ACT 18 TABS</t>
  </si>
  <si>
    <t>ACT 12 TABS</t>
  </si>
  <si>
    <t>TOTAL ACTs</t>
  </si>
  <si>
    <t>INDIVIDUAL TREATMENT COURSE</t>
  </si>
  <si>
    <t>AMPOULE</t>
  </si>
  <si>
    <t>VIAL</t>
  </si>
  <si>
    <t>MONTHS OF STOCK ON ORDER</t>
  </si>
  <si>
    <t>DP (Dihydroartemisinin 40mg + Piperaquine 340mg Tab)</t>
  </si>
  <si>
    <t>ARTESUNATE SUPPOSITORY (200MG)</t>
  </si>
  <si>
    <t xml:space="preserve">ARTESUNATE SUPPOSITORY (50MG) </t>
  </si>
  <si>
    <t>EXPIRY DATE</t>
  </si>
  <si>
    <t>LOCATION</t>
  </si>
  <si>
    <t>SOURCE</t>
  </si>
  <si>
    <t>GLOBAL FUND</t>
  </si>
  <si>
    <t>CODE</t>
  </si>
  <si>
    <t>Artemether 20 mg+Lumefantrine 120mg Tablets, 15-24kg, blister 12x1</t>
  </si>
  <si>
    <t>Artemether 20 mg+Lumefantrine 120mg Tablets, 25-34kg, blister 18x1</t>
  </si>
  <si>
    <t>BATCH #</t>
  </si>
  <si>
    <t>MALARIA CENTRAL STORE</t>
  </si>
  <si>
    <t>GoPNG</t>
  </si>
  <si>
    <t>QUANTITY  IN INDIVIDUAL UNIT</t>
  </si>
  <si>
    <t>AREA MEDICAL STORE, BADILI</t>
  </si>
  <si>
    <t>AREA MEDICAL STORE, HAGEN</t>
  </si>
  <si>
    <t>AREA MEDICAL STORE, KOKOPO</t>
  </si>
  <si>
    <t>AREA MEDICAL STORE, WEWAK</t>
  </si>
  <si>
    <t>WEWAK</t>
  </si>
  <si>
    <t>AREA MEDICAL STORE, LAE</t>
  </si>
  <si>
    <t>EXPECTED DATES OF ARRIVAL</t>
  </si>
  <si>
    <t>IN MONTHS OF STOCK</t>
  </si>
  <si>
    <t xml:space="preserve">EXPECTED STOCK POSSIBLY IN THE NEXT SIX MONTHS </t>
  </si>
  <si>
    <t>RDT, ACT, &amp; PRIMAQUINE</t>
  </si>
  <si>
    <t>ARTESUNATE INJECTION 60MG</t>
  </si>
  <si>
    <t>SULPHADOXINE 500MG + PYRIMETHAMINE 25MG (SP)</t>
  </si>
  <si>
    <t>TOTAL QTY</t>
  </si>
  <si>
    <t>EQUIVALENCE IN MONTHS OF STOCK</t>
  </si>
  <si>
    <t>ACT6</t>
  </si>
  <si>
    <t>ACT12</t>
  </si>
  <si>
    <t>ACT18</t>
  </si>
  <si>
    <t>ACT24</t>
  </si>
  <si>
    <t>TOTAL ACT</t>
  </si>
  <si>
    <t>DATE</t>
  </si>
  <si>
    <t>ORDERD</t>
  </si>
  <si>
    <t xml:space="preserve">ARRIVAL </t>
  </si>
  <si>
    <t>PREVIOUS UPDATE</t>
  </si>
  <si>
    <t>ACT  (Total ACT 6 Equivalence)</t>
  </si>
  <si>
    <t xml:space="preserve">ACTs, RDTs AND PRIMAQUINE - STOCK AND PROCUREMENT SUMMARY OF NDoH MEDICAL SUPPLIES BRANCH AND RAM </t>
  </si>
  <si>
    <t>Primaquine Tablet, 7.5mg</t>
  </si>
  <si>
    <t xml:space="preserve">NDoH </t>
  </si>
  <si>
    <t xml:space="preserve">RAM/GF </t>
  </si>
  <si>
    <t xml:space="preserve">Total Possibly Available In The Next Six Months </t>
  </si>
  <si>
    <t>Total Possibly Available In the Next Six Months</t>
  </si>
  <si>
    <t>Artemether 20 mg+Lumefantrine 120mg Tablets, 25-34kg, blister 24x1</t>
  </si>
  <si>
    <t xml:space="preserve">Received; 09.09.21 </t>
  </si>
  <si>
    <t>Artemether 20 mg+Lumefantrine 120mg Tablets, 25-34kg, blister 12x1</t>
  </si>
  <si>
    <t>PNGSDP</t>
  </si>
  <si>
    <t>PURCHASE ORDER #</t>
  </si>
  <si>
    <t>COMMENTS</t>
  </si>
  <si>
    <t>FUNDING SOURCE</t>
  </si>
  <si>
    <t>GF</t>
  </si>
  <si>
    <t>ACT delivered at AMS on the 17.09.21.</t>
  </si>
  <si>
    <t xml:space="preserve">Received 29.05.21.  </t>
  </si>
  <si>
    <t>REQUISITION NUMBER</t>
  </si>
  <si>
    <t>Months of stock</t>
  </si>
  <si>
    <t>RDT -Months of stock</t>
  </si>
  <si>
    <t>Arrived 17.10.21 and received into stock.</t>
  </si>
  <si>
    <t>Artemether 20 mg+Lumefantrine 120mg Tablets, 25-34kg, blister 6x1</t>
  </si>
  <si>
    <t>PQ delivered in December, 2021</t>
  </si>
  <si>
    <t>ACT delivered in December 2021</t>
  </si>
  <si>
    <t>STOCK ON ORDER</t>
  </si>
  <si>
    <t>RAM / GLOBAL FUND ORDERS TO DATE</t>
  </si>
  <si>
    <t xml:space="preserve">ACT6 </t>
  </si>
  <si>
    <t>ARTESUNATE INJ. 60MG/3ML</t>
  </si>
  <si>
    <t>ARTEMETHER INJ. 40MG/ML</t>
  </si>
  <si>
    <t>ARTEMETHER INJ. 80MG/ML</t>
  </si>
  <si>
    <t>QUININE INJ. 600MG</t>
  </si>
  <si>
    <t>QUININE TABS. 300MG</t>
  </si>
  <si>
    <t xml:space="preserve">DP TABLETS </t>
  </si>
  <si>
    <t>SP TABLETS</t>
  </si>
  <si>
    <t>QTY</t>
  </si>
  <si>
    <t>RECEIVED</t>
  </si>
  <si>
    <t>OUTSTANDING</t>
  </si>
  <si>
    <t>Dihydroartemisinin 40mg + Piperaquine 340mg Tab)</t>
  </si>
  <si>
    <t>ARTESUNATE SUPPOSITORY 200MG</t>
  </si>
  <si>
    <t>ARTESUNATE SUPPOSITORY 50MG</t>
  </si>
  <si>
    <t>OTHER ANTIMALARIAL DRUGS</t>
  </si>
  <si>
    <t>10570130</t>
  </si>
  <si>
    <t>Primaquine Tab., 7.5mg</t>
  </si>
  <si>
    <t>10570040</t>
  </si>
  <si>
    <t>10570060</t>
  </si>
  <si>
    <t>40240100</t>
  </si>
  <si>
    <t>Pf/Pan Rapid Diagnostic Test for Malaria</t>
  </si>
  <si>
    <t>Received 30.05.22</t>
  </si>
  <si>
    <t>Received 25.04.2022</t>
  </si>
  <si>
    <t>Received 11.05.22</t>
  </si>
  <si>
    <t xml:space="preserve"> NDoH ORDERS TO DATE</t>
  </si>
  <si>
    <t xml:space="preserve">Received 01.06.22.  </t>
  </si>
  <si>
    <t>30/06/22</t>
  </si>
  <si>
    <t>30/10/22</t>
  </si>
  <si>
    <t xml:space="preserve">TOTAL </t>
  </si>
  <si>
    <t>Arrived on the 08.07.22, and received on 20.07.22</t>
  </si>
  <si>
    <t>Qty received.</t>
  </si>
  <si>
    <t>SUMMARY - STOCK AND PROCUREMENT SUMMARY OF MEDICAL SUPPLIES BRANCH AND RAM/GF</t>
  </si>
  <si>
    <t>30/11/22</t>
  </si>
  <si>
    <t>17/08/22</t>
  </si>
  <si>
    <t>-</t>
  </si>
  <si>
    <t>4/10/2022</t>
  </si>
  <si>
    <t>04/10/22</t>
  </si>
  <si>
    <t>30/03/2023</t>
  </si>
  <si>
    <t>30/03/23</t>
  </si>
  <si>
    <t>22/08/2022</t>
  </si>
  <si>
    <t>30/11/2022</t>
  </si>
  <si>
    <t>16/10/22</t>
  </si>
  <si>
    <t>30/09/22</t>
  </si>
  <si>
    <t>Artemether 20 mg+Lumefantrine 120mg Tablets, 35+kg, blister 24x1</t>
  </si>
  <si>
    <t>GRAND TOTAL</t>
  </si>
  <si>
    <t>ACTs Delivered at AMS on 02.11.22</t>
  </si>
  <si>
    <t xml:space="preserve">PQ Received on the 27.10.22  </t>
  </si>
  <si>
    <t>Artesunate Injection 60mg Vial</t>
  </si>
  <si>
    <t>RDTs DELIVERED AT AMS ON THE 16th, 17th &amp; 21st NOV. 2022</t>
  </si>
  <si>
    <t>30/12/2022</t>
  </si>
  <si>
    <t>31/12/2022</t>
  </si>
  <si>
    <t xml:space="preserve">KOKOPO </t>
  </si>
  <si>
    <t>22.11.2022</t>
  </si>
  <si>
    <t>28.11.2022</t>
  </si>
  <si>
    <t>30.03.23</t>
  </si>
  <si>
    <t>05.12.2022</t>
  </si>
  <si>
    <t>30.12.2022</t>
  </si>
  <si>
    <t>30.03.2023</t>
  </si>
  <si>
    <t>28/02/23</t>
  </si>
  <si>
    <t>12/01/23</t>
  </si>
  <si>
    <t>900,000 FULLY RECEIVED ON 30.12.22</t>
  </si>
  <si>
    <t>2023 Order; Fully supplied - received on 21.02.23</t>
  </si>
  <si>
    <t>Artemether 20 mg+Lumefantrine 120mg Tablets, 24-34kg, blister 18x1</t>
  </si>
  <si>
    <t>30/07/23</t>
  </si>
  <si>
    <t>11/05/23</t>
  </si>
  <si>
    <t>08/05/23</t>
  </si>
  <si>
    <t>Fully supplied on 15.05 - 19.05.2023</t>
  </si>
  <si>
    <t>15/04/23</t>
  </si>
  <si>
    <t>26/06/23</t>
  </si>
  <si>
    <t>03/07/23</t>
  </si>
  <si>
    <t>30/06/23</t>
  </si>
  <si>
    <t>30/10/23</t>
  </si>
  <si>
    <t>12/06/23</t>
  </si>
  <si>
    <t>13/06/23</t>
  </si>
  <si>
    <t>Borneo</t>
  </si>
  <si>
    <t>Modern</t>
  </si>
  <si>
    <t>31/07/23</t>
  </si>
  <si>
    <t>not received but not shown on outstanding POs</t>
  </si>
  <si>
    <t xml:space="preserve">CPL: Wewak AMS is yet to record this as received; </t>
  </si>
  <si>
    <t>30/11/23</t>
  </si>
  <si>
    <t>21/09/23</t>
  </si>
  <si>
    <t>11/09/23</t>
  </si>
  <si>
    <t>19/09/23</t>
  </si>
  <si>
    <t>30/03/24</t>
  </si>
  <si>
    <t>26/09/23</t>
  </si>
  <si>
    <t>10570030</t>
  </si>
  <si>
    <t>3E02047</t>
  </si>
  <si>
    <t>31/12/2025</t>
  </si>
  <si>
    <t>31/10/2025</t>
  </si>
  <si>
    <t>B1APH005</t>
  </si>
  <si>
    <t>B1APH016</t>
  </si>
  <si>
    <t>30/11/2025</t>
  </si>
  <si>
    <t>31/05/2025</t>
  </si>
  <si>
    <t>14/11/23</t>
  </si>
  <si>
    <t>15/11/23</t>
  </si>
  <si>
    <t>19/12/23</t>
  </si>
  <si>
    <t>SUPPLIER</t>
  </si>
  <si>
    <t>360 Partially received on: 08.09.2023; outstanding 20,880 fully supplied on 08.09.2023</t>
  </si>
  <si>
    <t>CPL</t>
  </si>
  <si>
    <t>Summary Table of Outsanding NDOH Orders of ACTs, RDTs and Primaquine</t>
  </si>
  <si>
    <r>
      <t xml:space="preserve">15,000 received on 08.10.21; </t>
    </r>
    <r>
      <rPr>
        <sz val="9"/>
        <color rgb="FFFF0000"/>
        <rFont val="Calibri"/>
        <family val="2"/>
        <scheme val="minor"/>
      </rPr>
      <t>Outstanding 15000 Fully received on date yet to confirm</t>
    </r>
  </si>
  <si>
    <t>166 outstanding fully received on date yet to confirm in mSupply</t>
  </si>
  <si>
    <r>
      <t xml:space="preserve">Received 7330 on the 14.12.2022; </t>
    </r>
    <r>
      <rPr>
        <sz val="9"/>
        <color rgb="FFFF0000"/>
        <rFont val="Calibri"/>
        <family val="2"/>
        <scheme val="minor"/>
      </rPr>
      <t>670 outsanding appeared to have been received  on date yet to confirm in mSupply</t>
    </r>
  </si>
  <si>
    <t>Supreme</t>
  </si>
  <si>
    <t>ACT6 Equivalents</t>
  </si>
  <si>
    <t>Fully received on the 20.02.2024</t>
  </si>
  <si>
    <t xml:space="preserve">280,000 fully received on 20.11.2023 </t>
  </si>
  <si>
    <t>59,880 outsanding appeared to have been received  on date yet to confirm in mSupply</t>
  </si>
  <si>
    <t>60,000 outsanding appeared to have been received  on date yet to confirm in mSupply</t>
  </si>
  <si>
    <t xml:space="preserve">PQ Fully received on the 26.01.2024 </t>
  </si>
  <si>
    <t>PQ 435,800 fully received on 26.01.2024</t>
  </si>
  <si>
    <r>
      <t xml:space="preserve">80,800 received on 13.10.22; </t>
    </r>
    <r>
      <rPr>
        <sz val="9"/>
        <color rgb="FFFF0000"/>
        <rFont val="Calibri"/>
        <family val="2"/>
        <scheme val="minor"/>
      </rPr>
      <t>538,700 fully received on 12.05.2023</t>
    </r>
  </si>
  <si>
    <t>Quinien Fully received on the 20.02.2024 from Modern</t>
  </si>
  <si>
    <t>PQ  received on the 14.02.2024 from Borneo</t>
  </si>
  <si>
    <t>PQ Fully received on the 20.02.2024 from Modern</t>
  </si>
  <si>
    <t>RDT Fully received on the 20.02.2024 from Modern</t>
  </si>
  <si>
    <t>72,000 received on 23.05.2023' ; balance  fully received on the 03.04.2024</t>
  </si>
  <si>
    <t>fully received on the 04.04.2024</t>
  </si>
  <si>
    <t>Renewal of RFQ_26.05.23; 230,000/265,500 received on 05.12.2023; balance fully supplied on the 15.03.2024</t>
  </si>
  <si>
    <t>90000/250000 received on 05.12.2023; balance fully supplied on the 15.03.2024</t>
  </si>
  <si>
    <t>PQ Fully supplied from Borneo on the 04.04.2024</t>
  </si>
  <si>
    <t>Fully received on the 23.04.2024</t>
  </si>
  <si>
    <t>fully received on the 02.04.2024</t>
  </si>
  <si>
    <t>SP Fully received on the 14.03.2024 from Modern</t>
  </si>
  <si>
    <t>RDT Fully received on the 28.03.2024 from Modern</t>
  </si>
  <si>
    <t>RDT Fully received on the 13.03.2024 from Modern</t>
  </si>
  <si>
    <t>Borneo; Fully received 80mg inj on the 22.02.2024</t>
  </si>
  <si>
    <t>PQ Fully received from modern on the 20.02.2024</t>
  </si>
  <si>
    <t>PQ Fully received on the 22.02.2024 from Borneo</t>
  </si>
  <si>
    <t>Quinine Tabs Fully received on the 20.02.2024 from Modern</t>
  </si>
  <si>
    <t>RDT fully received from Modern on the 08.03.2024</t>
  </si>
  <si>
    <t>19/03/24</t>
  </si>
  <si>
    <t>30/04/24</t>
  </si>
  <si>
    <t>21/03/24</t>
  </si>
  <si>
    <t>Borneo; Partially Received on the 12.12.2023; balance 6115 inj 80mg were delivered on the 27.02.2024 from Borneo</t>
  </si>
  <si>
    <t>9000 received on the 02.02.2024 from Brneo; 71000 fully received on 27.02.2024</t>
  </si>
  <si>
    <t>7200 40mg inj partially receved from Borneo on the 02.02.2024; 68,268 balance fully supplied on the 27.02.2024</t>
  </si>
  <si>
    <t>71,900/150,000 partially received on: 14.11.2023; Balance of 71,800 fully supplied on the 12.03.2024</t>
  </si>
  <si>
    <t>Full PQ stock received from Borneo on the 27.02.2024</t>
  </si>
  <si>
    <t>Fully PQ Stock received on the 12.03.2024 from Modern</t>
  </si>
  <si>
    <t>DATE RECEIVED</t>
  </si>
  <si>
    <t>6,400 received on  12.11.22.; 100 outstanding fully received on date yet to confirm in msupply</t>
  </si>
  <si>
    <t>6,470 received on 12.11.22; 30 outstanding fully received on date yet to confirm in msupply</t>
  </si>
  <si>
    <t>13.03.2024</t>
  </si>
  <si>
    <t>Fully received on the 14.03.2024 AL12</t>
  </si>
  <si>
    <t>Fully received on the 14.03.2024 AL24</t>
  </si>
  <si>
    <t>Fully received on the 14.03.2024 AL18</t>
  </si>
  <si>
    <t xml:space="preserve"> </t>
  </si>
  <si>
    <t>Fully received on the 03.04.2024</t>
  </si>
  <si>
    <t>09/04/24</t>
  </si>
  <si>
    <t>30/05/24</t>
  </si>
  <si>
    <t>16/04/24</t>
  </si>
  <si>
    <t>Fully received on the 17.04.2024</t>
  </si>
  <si>
    <t>11/04/24</t>
  </si>
  <si>
    <t>2,160 received on 01.11.22; 13,050 was received on the 08.03.23; 720 outstanding fully received on date yet to confirm in mSupply</t>
  </si>
  <si>
    <t>08/05/2023</t>
  </si>
  <si>
    <t>30/07/2023</t>
  </si>
  <si>
    <t>AL18: 13,530/21,240 partially received on14.03.2024</t>
  </si>
  <si>
    <t>548,900 fully received on the 19.04.2024</t>
  </si>
  <si>
    <t>28/04/24</t>
  </si>
  <si>
    <t>30/06/24</t>
  </si>
  <si>
    <t>30/07/24</t>
  </si>
  <si>
    <t>Modern; Fully received on 11.04.2024</t>
  </si>
  <si>
    <t>Borneo; Fully received on the 17.04.2024</t>
  </si>
  <si>
    <t>Fully received on the 29.02.2024</t>
  </si>
  <si>
    <t>25/04/24</t>
  </si>
  <si>
    <t>29/04/24</t>
  </si>
  <si>
    <t>total in Mos</t>
  </si>
  <si>
    <t>RAM/GF</t>
  </si>
  <si>
    <t>fully received Art Inj 60mg on date: 08th of May 2024</t>
  </si>
  <si>
    <t>fully received on date: 09.05.2024</t>
  </si>
  <si>
    <t>fully received on date: 14.05.2024</t>
  </si>
  <si>
    <t>modern; AL24 fully received on date: 08.05.2024</t>
  </si>
  <si>
    <t>modern; AL12 fully received on date: 08.05.2024</t>
  </si>
  <si>
    <t>98,000 PQ Partially received on the 11.03.2024 from Supreme Pharma; fully supplied on the 28.05.2024</t>
  </si>
  <si>
    <t>573000/1,000,000 partially received on: 14.05.2024; remainder fully supplied on 28.05.2024</t>
  </si>
  <si>
    <t>PQ from Supreme; Fully received on the 28.05.2024</t>
  </si>
  <si>
    <t>PQ from Borneo; Partially receiveid on the 16.05.2024</t>
  </si>
  <si>
    <t>PQ from Modern 2024; Fully received on the 25.06.2024</t>
  </si>
  <si>
    <t>AL18 Partially received on the 14.03.2024; Fully supplied on the 30.05.2024</t>
  </si>
  <si>
    <t>Fully received on the 30.05.2024</t>
  </si>
  <si>
    <t>Fully received on the 27.05.2024</t>
  </si>
  <si>
    <t>SP Fully received on the 28.05.2024</t>
  </si>
  <si>
    <t>PQ fully received on the 24.05.2024</t>
  </si>
  <si>
    <t>Fully received artesunate inj on the 31.05.2024</t>
  </si>
  <si>
    <t>Remainder PQ fully received on 03.06.2024;</t>
  </si>
  <si>
    <t>PQ Fully received on the 19.06.2024</t>
  </si>
  <si>
    <t>Fully received Artesunate inj on the 05.06.2024</t>
  </si>
  <si>
    <t>Fully received on the 16.05.2024</t>
  </si>
  <si>
    <t>Borneo; Fully received on the 23.05.2024</t>
  </si>
  <si>
    <t>Fully received PQ on the 22.05.2024 from Borneo;</t>
  </si>
  <si>
    <t>Fully received from Modern on the 22.05.2024</t>
  </si>
  <si>
    <t>Modern; RDT Fully received on the 31.05.2024</t>
  </si>
  <si>
    <t>63,225/200,000 RDT received from Modern on 20.02.2024; balance fully supplied on the 23.05.2024</t>
  </si>
  <si>
    <t>Fully received on the 24th of July 2024 from Borneo</t>
  </si>
  <si>
    <t xml:space="preserve">OTHER ANTIMALARIALS - STOCK AND PROCUREMENT SUMMARY OF NDoH MEDICAL SUPPLIES BRANCH </t>
  </si>
  <si>
    <t>P45 - RAM CR</t>
  </si>
  <si>
    <t>28/02/2028</t>
  </si>
  <si>
    <t>P39_-_RAM_CR</t>
  </si>
  <si>
    <t>P35_-_RAM_CR</t>
  </si>
  <si>
    <t>P25-RAM STORE</t>
  </si>
  <si>
    <t>NAA24134A</t>
  </si>
  <si>
    <t>R15</t>
  </si>
  <si>
    <t>R13</t>
  </si>
  <si>
    <t>31/07/2025</t>
  </si>
  <si>
    <t>31/10/2026</t>
  </si>
  <si>
    <t>CIAPH002</t>
  </si>
  <si>
    <t>CIAPH001</t>
  </si>
  <si>
    <t>30/06/2026</t>
  </si>
  <si>
    <t>04/08/24</t>
  </si>
  <si>
    <t>30/03/25</t>
  </si>
  <si>
    <t>30/10/24</t>
  </si>
  <si>
    <t xml:space="preserve">ACT6 Fully received on 02.08.2024; </t>
  </si>
  <si>
    <t xml:space="preserve">ACT12 Fully received on 02.08.2024; </t>
  </si>
  <si>
    <t xml:space="preserve">ACT18 Fully received on 02.08.2024; </t>
  </si>
  <si>
    <t xml:space="preserve">ACT24 Fully received on 02.08.2024; </t>
  </si>
  <si>
    <t>ACT 6 Fully received on the 05.08.2024</t>
  </si>
  <si>
    <t>ACT 12 Fully received on the 05.08.2024</t>
  </si>
  <si>
    <t>ACT 18 Fully received on the 05.08.2024</t>
  </si>
  <si>
    <t>ACT 24 Fully received on the 05.08.2024</t>
  </si>
  <si>
    <t>PQs Fully received on the 20.07.2024 from Borneo</t>
  </si>
  <si>
    <t>AL6, Borneo; Fully received on the 08.08.2024</t>
  </si>
  <si>
    <t>3345 / 3347</t>
  </si>
  <si>
    <t>167772411 / 167772409</t>
  </si>
  <si>
    <t xml:space="preserve">4195 / 4193 </t>
  </si>
  <si>
    <t>3354 / 3352</t>
  </si>
  <si>
    <t>3324 / 3322</t>
  </si>
  <si>
    <t>MoS</t>
  </si>
  <si>
    <t>ACTs</t>
  </si>
  <si>
    <t>RDTs</t>
  </si>
  <si>
    <t>PQs</t>
  </si>
  <si>
    <t>28/02/2027</t>
  </si>
  <si>
    <t>30/04/2027</t>
  </si>
  <si>
    <t>Fully received on the 08.09.2024</t>
  </si>
  <si>
    <t>fully received on 08.09.2024</t>
  </si>
  <si>
    <t>Partially received some PQ on the 12.06.2024; fully received on the 18.09.2024</t>
  </si>
  <si>
    <t>Fully received on the 14&amp;15 of March 2024</t>
  </si>
  <si>
    <t>20/08/24</t>
  </si>
  <si>
    <t>30/08/24</t>
  </si>
  <si>
    <t>Fully received from Supreme Pharma on 16.08.2024</t>
  </si>
  <si>
    <t>Modern; Fully received on the 21.08.2024</t>
  </si>
  <si>
    <t>Borneo; Fully received on 13.08.2024</t>
  </si>
  <si>
    <t xml:space="preserve"> AL12Borneo; partially received on 08.08.2024; Fully received on 13.08.2024</t>
  </si>
  <si>
    <t>AL18 Borneo; partially received on 08.08.2024;  partially received on 08.08.2024</t>
  </si>
  <si>
    <t xml:space="preserve">AL24 Borneo; partially received on 08.08.2024 partially received on 08.08.2024 </t>
  </si>
  <si>
    <t>Fully receiveived on the 14.09.2024</t>
  </si>
  <si>
    <t>Fully received on the 13.08.2024</t>
  </si>
  <si>
    <t>HWE084001</t>
  </si>
  <si>
    <t>31/12/2026</t>
  </si>
  <si>
    <t>D1APH002</t>
  </si>
  <si>
    <t>HWE094015</t>
  </si>
  <si>
    <t>31/01/2027</t>
  </si>
  <si>
    <t>HWE114003</t>
  </si>
  <si>
    <t>T35805</t>
  </si>
  <si>
    <t>KE24147</t>
  </si>
  <si>
    <t>HWE104004</t>
  </si>
  <si>
    <t>HWE104006</t>
  </si>
  <si>
    <t>20/08/2024</t>
  </si>
  <si>
    <t>Partly Received 120,000 on 13.03.2023; 48,750 received in mSupply on; 15,000 received on 16.04.2024; Final parts received on 01.10.24</t>
  </si>
  <si>
    <t>Fully received in July 2024</t>
  </si>
  <si>
    <t>Fully received in August 2024</t>
  </si>
  <si>
    <t>total</t>
  </si>
  <si>
    <r>
      <t xml:space="preserve">AL24 from Modern 2024; partially received on the 21.06.2024 &amp; 26.06.2024; </t>
    </r>
    <r>
      <rPr>
        <sz val="9"/>
        <color rgb="FFFF0000"/>
        <rFont val="Calibri"/>
        <family val="2"/>
        <scheme val="minor"/>
      </rPr>
      <t>16,200 partially received on the 24.07.24 from Modern Pharma; 1,380 partially delivered on 21.10.24</t>
    </r>
  </si>
  <si>
    <t>08.2024 order from Modern; partly received on the 20.08.2024; outstanding (191875) fully recived on the 03.12.2024</t>
  </si>
  <si>
    <t>08.2024 order from Borneo; Fully received on the 17.10.2024</t>
  </si>
  <si>
    <t>03/12/24</t>
  </si>
  <si>
    <t>30/06/25</t>
  </si>
  <si>
    <t>30/08/25</t>
  </si>
  <si>
    <t>Modern; partially received on the 18.09.2024; Outstanding 3300 received on the 05.11.2024</t>
  </si>
  <si>
    <t>Modern 720 first received on the 05.11.24; 9330 later received on the 02.12.24</t>
  </si>
  <si>
    <t>Modern; partially received on the 18.09.2024; Outstanding 2880 received on the 05.11.2024</t>
  </si>
  <si>
    <t>New 08.2024 orders from Borneo; Fully received on the 12.11.2024</t>
  </si>
  <si>
    <t>23/09/24</t>
  </si>
  <si>
    <t>30/11/24</t>
  </si>
  <si>
    <t>New 2024 orders from Bormeo; Fully received on the 15.10.2024</t>
  </si>
  <si>
    <t>New 2024 orders from Bormeo; Fully received on the 16.10.24</t>
  </si>
  <si>
    <t>PQ Fully received on the 10.10.2024 from Borneo</t>
  </si>
  <si>
    <t>Modern; Fully received on 11.04.2024; fully received on the 21.10.2024</t>
  </si>
  <si>
    <t>14/10/24</t>
  </si>
  <si>
    <t>New 2024 Orders from Borneo (Disaster relief); Fully received on the 01.11.2024</t>
  </si>
  <si>
    <t>Modern; Partially received on the 07.06.2024; Outstanding 2670 fully received on 17.10.24</t>
  </si>
  <si>
    <t>Modern; Partially received on the 07.06.2024; 14040 Fully received on 17.10.24</t>
  </si>
  <si>
    <t>117,500 received on 18.01.2023; Outstanding fully received on the 07.11.2024</t>
  </si>
  <si>
    <t>Modern; partially received on the 11.06.2024; Outstg fully received on the 07.11.2024</t>
  </si>
  <si>
    <t>Modern; partially received on the 11.06.2024; Outsg fully received on the 07.11.24</t>
  </si>
  <si>
    <t>modern; 24270/27,150 AL6  partially receiced on date: 08.05.2024; Outsg 1440 fully received on the 13.11.24</t>
  </si>
  <si>
    <t>Fully received on the 05.12.2024</t>
  </si>
  <si>
    <t>modern; Fully received on the 13.11.2024</t>
  </si>
  <si>
    <t>Modern; partially received on the 11.06.2024; 8460 fully received on the 13.11.2024</t>
  </si>
  <si>
    <t>CPL; PQ 794800/870000 partially received on date: 15.05.2024; Outsg fully received on the 31.10.24</t>
  </si>
  <si>
    <r>
      <t>Modern; Partially received on the 21.08.2024;</t>
    </r>
    <r>
      <rPr>
        <sz val="9"/>
        <color rgb="FFFF0000"/>
        <rFont val="Calibri"/>
        <family val="2"/>
        <scheme val="minor"/>
      </rPr>
      <t xml:space="preserve"> 8700 fully received on the 14.11.2024</t>
    </r>
  </si>
  <si>
    <r>
      <t xml:space="preserve">New 2024 orders from Bormeo; </t>
    </r>
    <r>
      <rPr>
        <sz val="9"/>
        <color rgb="FFFF0000"/>
        <rFont val="Calibri"/>
        <family val="2"/>
        <scheme val="minor"/>
      </rPr>
      <t>Fully received on the 12.11.2024</t>
    </r>
  </si>
  <si>
    <r>
      <t>New 2024 orders from Bormeo;</t>
    </r>
    <r>
      <rPr>
        <sz val="9"/>
        <color rgb="FFFF0000"/>
        <rFont val="Calibri"/>
        <family val="2"/>
        <scheme val="minor"/>
      </rPr>
      <t xml:space="preserve"> Fully received on the 12.11.2024</t>
    </r>
  </si>
  <si>
    <t>Received 48,000 PQ; 45,200 outstanding fully received on date yet to confirm in mSupply</t>
  </si>
  <si>
    <t>728 vials received on 16.03.2023; 19,272 outstadning vials received on date yet to confirm in mSupply</t>
  </si>
  <si>
    <t>59,760 Received on: 28.04.2023; 240 blisters outstanding fully received on date yet to confirm in mSupply</t>
  </si>
  <si>
    <t>New 2024 orders from Bormeo-EXTENSION OF RFQ#Q23 mRDT</t>
  </si>
  <si>
    <r>
      <t>AL6 from Modern 2024; partially received on the 21.06.2024 &amp; 26.06.2024; From exstock #23;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</si>
  <si>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>AL12 from Modern 2024; partially received on the 21.06.2024 &amp; 26.06.2024;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</si>
  <si>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 xml:space="preserve">Al18 from Modern 2024; partially received on the 21.06.2024 &amp; 26.06.2024; </t>
    </r>
    <r>
      <rPr>
        <sz val="9"/>
        <color rgb="FFC7090E"/>
        <rFont val="Calibri"/>
        <family val="2"/>
        <scheme val="minor"/>
      </rPr>
      <t>13,110 partially recieced on 21.10.25</t>
    </r>
  </si>
  <si>
    <t>10/12/24</t>
  </si>
  <si>
    <t>11/12/24</t>
  </si>
  <si>
    <t>New 2025 Order</t>
  </si>
  <si>
    <t>A. ACTs, RDT, &amp; PRIMAQUINE</t>
  </si>
  <si>
    <t>ACTs (Total)</t>
  </si>
  <si>
    <t>Primaquine</t>
  </si>
  <si>
    <t>SOH in Months</t>
  </si>
  <si>
    <t>Global Fund/RAM</t>
  </si>
  <si>
    <t>Stock in Months</t>
  </si>
  <si>
    <t>Total stock in Months</t>
  </si>
  <si>
    <t>50,000 received on 01.11.22; 165000 received</t>
  </si>
  <si>
    <t>Artemether + Lumefantrine Tab., 20+120mg, blister,  6x1</t>
  </si>
  <si>
    <t>NAD2484C</t>
  </si>
  <si>
    <t>30/06/2028</t>
  </si>
  <si>
    <t>R08</t>
  </si>
  <si>
    <t>Artemether + Lumefantrine Tab., 20+120mg, blister, 12x1</t>
  </si>
  <si>
    <t>NAD2487A</t>
  </si>
  <si>
    <t>NAD2489A</t>
  </si>
  <si>
    <t>NAD2488A</t>
  </si>
  <si>
    <t>NAD2490A</t>
  </si>
  <si>
    <t>NAD2486A</t>
  </si>
  <si>
    <t>R16</t>
  </si>
  <si>
    <t>P22-RAM STORE</t>
  </si>
  <si>
    <t>P23-RAM STORE</t>
  </si>
  <si>
    <t>P26-RAM STORE</t>
  </si>
  <si>
    <t>NAA24344A</t>
  </si>
  <si>
    <t>NAA24345A</t>
  </si>
  <si>
    <t>30/08/2028</t>
  </si>
  <si>
    <t>NAA24346A</t>
  </si>
  <si>
    <t>NAA24348A</t>
  </si>
  <si>
    <t>NAA24343A</t>
  </si>
  <si>
    <t>NAA24350A</t>
  </si>
  <si>
    <t>NAA24349A</t>
  </si>
  <si>
    <t>R18</t>
  </si>
  <si>
    <t>R17</t>
  </si>
  <si>
    <t>R11</t>
  </si>
  <si>
    <t>R09</t>
  </si>
  <si>
    <t>P38_-_RAM_CR</t>
  </si>
  <si>
    <t>P33 - RAM Cr</t>
  </si>
  <si>
    <t>13/02/25</t>
  </si>
  <si>
    <t>30/10/25</t>
  </si>
  <si>
    <t>18/11/24</t>
  </si>
  <si>
    <t>30/12/24</t>
  </si>
  <si>
    <t>PO Finalised by WV altough not received in system</t>
  </si>
  <si>
    <t>RFQ24 ExStock from Savi Meds,; Fully received on the 04.02.25</t>
  </si>
  <si>
    <t>Finalised by WV admin on the 19.12.24 altough not received in the system</t>
  </si>
  <si>
    <t>RFQ#Q24.011 EX STOCK SUPPLIES; fully received on the 06.02.25</t>
  </si>
  <si>
    <t>WV finalised at 19.12.2024 altough not received in mSupply</t>
  </si>
  <si>
    <r>
      <t xml:space="preserve">PO#1811 DP: 4224 Partially received on: 17.08.2023; </t>
    </r>
    <r>
      <rPr>
        <sz val="9"/>
        <color rgb="FFC00000"/>
        <rFont val="Calibri"/>
        <family val="2"/>
        <scheme val="minor"/>
      </rPr>
      <t>WV finalised at 19.12.2024 altough 1860 balance not received in mSupply</t>
    </r>
  </si>
  <si>
    <r>
      <t xml:space="preserve">PO#1811 Quinine Tabs: 96,300 partially received on: 17.08.23; </t>
    </r>
    <r>
      <rPr>
        <sz val="9"/>
        <color rgb="FFFF0000"/>
        <rFont val="Calibri"/>
        <family val="2"/>
        <scheme val="minor"/>
      </rPr>
      <t xml:space="preserve">100 tabs not received in the system; </t>
    </r>
    <r>
      <rPr>
        <sz val="9"/>
        <color rgb="FFC00000"/>
        <rFont val="Calibri"/>
        <family val="2"/>
        <scheme val="minor"/>
      </rPr>
      <t>WV finalised at 19.12.2024 altough 100tabs balance not received in mSupply</t>
    </r>
  </si>
  <si>
    <t>new order for yr 2025; Fully received on the 20.02.25</t>
  </si>
  <si>
    <t>New 08.2024 orders from Modern; Fully received on the 25.02.25</t>
  </si>
  <si>
    <t>New 2025 Order; Fully received on the 11.03.2025</t>
  </si>
  <si>
    <t>New 2024 orders from Modern for disaster relief; Initially received on 83,125 the 27.01.2025 ; 116,875 outstanding RDTs fully supplied on 24.02.2025</t>
  </si>
  <si>
    <t>Fully received on the 10.03.2025</t>
  </si>
  <si>
    <t>Modern; partially received on the 11.06.2024; 2730 partially received on 07.11.2024; outstanding 5130 AL12s fully received on the 10.03.25</t>
  </si>
  <si>
    <t>16/03/25</t>
  </si>
  <si>
    <t>17/03/25</t>
  </si>
  <si>
    <t>DIAPH002</t>
  </si>
  <si>
    <t>3EO1O46</t>
  </si>
  <si>
    <t>D1APH005</t>
  </si>
  <si>
    <t>BIAPH003</t>
  </si>
  <si>
    <t>BIAPH015</t>
  </si>
  <si>
    <t>BIAPH002</t>
  </si>
  <si>
    <t>75K13245</t>
  </si>
  <si>
    <t>31/04/2027</t>
  </si>
  <si>
    <t>D1APH003</t>
  </si>
  <si>
    <t>H006D004D</t>
  </si>
  <si>
    <t xml:space="preserve">DIAPH002 </t>
  </si>
  <si>
    <t xml:space="preserve">C1APH001 </t>
  </si>
  <si>
    <t xml:space="preserve">DIAPH005 </t>
  </si>
  <si>
    <t xml:space="preserve">T35805 </t>
  </si>
  <si>
    <t xml:space="preserve">H006C001D </t>
  </si>
  <si>
    <t>Fully received on the 12th of April 2025</t>
  </si>
  <si>
    <t>02/04/25</t>
  </si>
  <si>
    <t>30/04/25</t>
  </si>
  <si>
    <t>Fully supplied on the 12.03.25 from Borneo</t>
  </si>
  <si>
    <t>260,400 fully supplied on the 24.03.25</t>
  </si>
  <si>
    <t>Fully received on the 16.04.2025 from Modern Pharmacy</t>
  </si>
  <si>
    <t>10/04/25</t>
  </si>
  <si>
    <r>
      <t xml:space="preserve">3489 Received on the 05.12.2022; </t>
    </r>
    <r>
      <rPr>
        <sz val="9"/>
        <color theme="5"/>
        <rFont val="Calibri"/>
        <family val="2"/>
        <scheme val="minor"/>
      </rPr>
      <t xml:space="preserve"> 11 blisters outstanding fully received on date yet to confirn in mSupply </t>
    </r>
  </si>
  <si>
    <t>Modern; partially received on the 18.09.2024; outstaning 2880  received on 05.11.2024; outstanding 300 finally fully received on the 04.04.25</t>
  </si>
  <si>
    <t>New 08.2024 orders from Modern; 28,800 partly received on the 19/11/24; Fully received from Modern on 09.04.25</t>
  </si>
  <si>
    <t>Fully receovec on the 11.04.25</t>
  </si>
  <si>
    <t>11/04/25</t>
  </si>
  <si>
    <t>new order for yr 2025; Fully received on the 14.05.2025 from Modern Pharm. Exp Date: 28.02.2027</t>
  </si>
  <si>
    <t>Fully received on the 24.04.25 from Savimeds</t>
  </si>
  <si>
    <t>200,000/200,000 fully received on the 02.05.25</t>
  </si>
  <si>
    <t>New 2025 Order; Fully received on the 05.05.25 from MedTech LTD 30,000/30,000</t>
  </si>
  <si>
    <t>RFQ#Q25.001 EX STOCK SUPPLIES; fully received on the 25.04.2025</t>
  </si>
  <si>
    <t>RFQ#Q25.001 EX STOCK SUPPLIES; 52,770 fully received on 25.04.25</t>
  </si>
  <si>
    <t>15,000 Fully Received from Borneo on the 25.04.2025</t>
  </si>
  <si>
    <t>20,000 Fully Received from Borneo on the 25.04.2025</t>
  </si>
  <si>
    <t>Modern; Fully received on the 25.04.25</t>
  </si>
  <si>
    <t>New 03.12.2024 from Modern for year 2025; 19,500/250,000 received on the 17.02.25; 230,000 fully received on 27.05.2025</t>
  </si>
  <si>
    <t>Borneo; 955,500/1000,000 received on the 14.05.25; otsg 44,500 fully received on 27.05.2025</t>
  </si>
  <si>
    <t>New 2024 orders from Modern; fully received on: 27.05.2025</t>
  </si>
  <si>
    <t>New 2024 Orders from Modern for year 2025; fully received on:27.05.2025</t>
  </si>
  <si>
    <t>Borneo; 998,900/1000 000 received on: 27.05.2025</t>
  </si>
  <si>
    <t>08.2024 order from Borneo; Fully received on the 11.06.2025</t>
  </si>
  <si>
    <t>new order for yr 2025; 22000/30000 received on the 04.04.2025; outstanding 8000 fully received on 06.06.25</t>
  </si>
  <si>
    <t>New13.02.25 from Modern for year 2025; 94,500/250,000 partially received on the 29.05.2025; Outstanding 155,500 RDTs received</t>
  </si>
  <si>
    <t>New 2024 orders from Bormeo; fully received on 27.06.25</t>
  </si>
  <si>
    <t xml:space="preserve">New 2024 Orders from Modern for yr 2025; fully received </t>
  </si>
  <si>
    <t>Fully received on the 27.06.25</t>
  </si>
  <si>
    <t>New Modern RDT Orders for yr 2025; partially received on the 24.03.25; Outstanding 111,375 fully received on the 25.06.25</t>
  </si>
  <si>
    <t>Borneo; Fully received on 25.06.25</t>
  </si>
  <si>
    <t>New13.02.25 from Modern for year 2025; Fully received on the 01.07.2025</t>
  </si>
  <si>
    <t>New 08.2024 orders from Borneo; Fully received on the 26.06.25</t>
  </si>
  <si>
    <t>New 2025 Order; Fully received on the 01.07.2025</t>
  </si>
  <si>
    <t>New 2025 Order; Fully received from Medtec on the 15.07.2025</t>
  </si>
  <si>
    <t>Modern; Partially received on the 07.06.2024; 1440 partially received on 17.10.2024; 4950 were received on the 15.04.25; OS 1,710 fully received on 17.07.2025</t>
  </si>
  <si>
    <t>New 2024 orders from Bormeo; 40,500 received on the 15.10.2024; OS 6000 fully received on the 02.07.2025</t>
  </si>
  <si>
    <t>New 2024 Orders from Modern for yr 2025 oder date 13.02.25; Fully received on the 17.07.2025</t>
  </si>
  <si>
    <t>New 2025 Order; 5,755 OS received fully on the 08.07.2025</t>
  </si>
  <si>
    <t>RFQ#Q25.001 EX STOCK SUPPLIES partially received 18,420/42,600 from Modern on 25.04.25; OS 24,180 fully received on the 24.07.2025</t>
  </si>
  <si>
    <t>RFQ#Q25.001 EX STOCK SUPPLIES; fully received on the 24.07.2025</t>
  </si>
  <si>
    <t>Fully received on the 08.07.2025</t>
  </si>
  <si>
    <t>Modern; Partially received on the 07.06.2024; 7110 fully received on the 17.07.25</t>
  </si>
  <si>
    <t>0.6 month stock expected.</t>
  </si>
  <si>
    <t>Modern; 300,000 / 1000,000 received on the 27.05.2025; 532600 received on the 01.08.2025</t>
  </si>
  <si>
    <t>New 2025 Order' Fully received on the 29.07.2025 from MedTech</t>
  </si>
  <si>
    <r>
      <t> </t>
    </r>
    <r>
      <rPr>
        <sz val="11"/>
        <color rgb="FF000000"/>
        <rFont val="Verdana"/>
        <family val="2"/>
      </rPr>
      <t>1.</t>
    </r>
    <r>
      <rPr>
        <b/>
        <sz val="11"/>
        <color rgb="FF0000FF"/>
        <rFont val="Verdana"/>
        <family val="2"/>
      </rPr>
      <t> </t>
    </r>
    <r>
      <rPr>
        <b/>
        <sz val="11"/>
        <color rgb="FF000000"/>
        <rFont val="Verdana"/>
        <family val="2"/>
      </rPr>
      <t>Stock on Hand</t>
    </r>
  </si>
  <si>
    <r>
      <t>2. </t>
    </r>
    <r>
      <rPr>
        <b/>
        <sz val="11"/>
        <color rgb="FF000000"/>
        <rFont val="Verdana"/>
        <family val="2"/>
      </rPr>
      <t xml:space="preserve">Stock in Pipeline </t>
    </r>
  </si>
  <si>
    <t>EXPECTED STOCK POSSIBLY IN THE NEXT SIX MONTHS</t>
  </si>
  <si>
    <t>SULFADOXINE 500MG + PYRIMETHAMINE 25MG (SP) (TABLET)</t>
  </si>
  <si>
    <t>ARTEMETHER INJ. 80MG (AMPOULE)</t>
  </si>
  <si>
    <t>ARTEMETHER INJ. 40MG (AMPOULE)</t>
  </si>
  <si>
    <t>ARTESUNATE INJECTION 60MG (VIAL)</t>
  </si>
  <si>
    <t>QUININE INJ. 600MG (VIAL)</t>
  </si>
  <si>
    <t>QUININE TABLET 300MG</t>
  </si>
  <si>
    <t>DIHYDROARTEMISININ 40MG + PIPERAQUINE 340mg (TAB)</t>
  </si>
  <si>
    <t>B. OTHER ANTI-MALARIALs (NDoH Procurement)</t>
  </si>
  <si>
    <t>All received on the 18th of Nov 2024</t>
  </si>
  <si>
    <t>RDT: 2024</t>
  </si>
  <si>
    <t>PO 9017</t>
  </si>
  <si>
    <t>Outstanding GF RDT received (49 pallets) from SDP-confirmed by Munir</t>
  </si>
  <si>
    <t>Recived fully on October 2024 (SDP-confirmed by Munir from RAM-ADP Agreement Letter)</t>
  </si>
  <si>
    <t>STOCK ON HAND IN PNG AS OF 5th of Septmenber 2025</t>
  </si>
  <si>
    <t>New Modern RDT Orders for yr 2025; Fully received on the 24.07.2025; 52,500 received  on the 28.08.2025 from Modern Pharma</t>
  </si>
  <si>
    <t>Fully received on the 20.08.2025 from Savimeds</t>
  </si>
  <si>
    <t>New 2025 Order; Fully received on the 20.08.25 fron Savimeds</t>
  </si>
  <si>
    <t>HWE084156</t>
  </si>
  <si>
    <t>HWE094156</t>
  </si>
  <si>
    <t>HWE104156</t>
  </si>
  <si>
    <t>HWE104157</t>
  </si>
  <si>
    <t>HWE10415</t>
  </si>
  <si>
    <t>HWE114180</t>
  </si>
  <si>
    <t>060324</t>
  </si>
  <si>
    <t>H006001D</t>
  </si>
  <si>
    <t>H006E003D</t>
  </si>
  <si>
    <t>H006E001D</t>
  </si>
  <si>
    <t>HOO6E001D</t>
  </si>
  <si>
    <t>30/11/2027</t>
  </si>
  <si>
    <t>HWE114157</t>
  </si>
  <si>
    <t>T35810</t>
  </si>
  <si>
    <t>31/03/2028</t>
  </si>
  <si>
    <t>H006E002</t>
  </si>
  <si>
    <t>H006C0070</t>
  </si>
  <si>
    <t>D1APH007</t>
  </si>
  <si>
    <t>TIAPH001</t>
  </si>
  <si>
    <t>H006E002D</t>
  </si>
  <si>
    <t>HWE104005</t>
  </si>
  <si>
    <t>C1APH006</t>
  </si>
  <si>
    <t>31/08/2026</t>
  </si>
  <si>
    <t>HOO6E003D</t>
  </si>
  <si>
    <t>STOCK ON HAND IN PNG AS OF 19th of September 2025</t>
  </si>
  <si>
    <t>New 2024 orders from Modern; 13.02.25 Fully received on the 13.08.2025</t>
  </si>
  <si>
    <t>Modern; Partially received on the 21.08.2024; 1440 outstanding received fully on the 13.08.2025</t>
  </si>
  <si>
    <t>0.2 months stock expected</t>
  </si>
  <si>
    <t>STOCK ON HAND IN PNG AS OF 3RD OF OCTOBER 2025</t>
  </si>
  <si>
    <t>STOCK ON HAND IN PNG AS OF 3RD of OCTOBER 2025</t>
  </si>
  <si>
    <t>18000/20000 received on the 20th of August 2025</t>
  </si>
  <si>
    <t>Borneo; 150,900 received on the 27.06.25; Outstanding 1 mill PQ were fully delivered on the 24th of Sept.2025</t>
  </si>
  <si>
    <t>3rd of October 2025</t>
  </si>
  <si>
    <t>0.1 months stock expected</t>
  </si>
  <si>
    <t>SOH OF LLINS IN PNG</t>
  </si>
  <si>
    <t>Container Numbers</t>
  </si>
  <si>
    <t>Funded By</t>
  </si>
  <si>
    <t>Yoorkool for RAM origional (XL)</t>
  </si>
  <si>
    <t>ANC SDP NETS</t>
  </si>
  <si>
    <t>MAGNETS FOR DISTRIBUTION</t>
  </si>
  <si>
    <t>MAGNETS in Lae</t>
  </si>
  <si>
    <t>Yahe Nets</t>
  </si>
  <si>
    <t>ANC Yahe Nets Lae</t>
  </si>
  <si>
    <t>Stock sheet status</t>
  </si>
  <si>
    <t>Comments</t>
  </si>
  <si>
    <t>TCKU 2415060</t>
  </si>
  <si>
    <t>RAM Origional</t>
  </si>
  <si>
    <t>same</t>
  </si>
  <si>
    <t>Ram Origional Nets</t>
  </si>
  <si>
    <t>For Positive Patients</t>
  </si>
  <si>
    <t>TCKU 1510925</t>
  </si>
  <si>
    <t>Global Fund</t>
  </si>
  <si>
    <t>Same</t>
  </si>
  <si>
    <t>EFM Lae</t>
  </si>
  <si>
    <t>Morobe Nets</t>
  </si>
  <si>
    <t>TCKU 1603946</t>
  </si>
  <si>
    <t>TCKU 1893260</t>
  </si>
  <si>
    <t>TCKU 1915414</t>
  </si>
  <si>
    <t>TCKU 2789692</t>
  </si>
  <si>
    <t>Removed from Oro Container</t>
  </si>
  <si>
    <t>CBHU 4047501</t>
  </si>
  <si>
    <t>GFS POM</t>
  </si>
  <si>
    <t>Central Province nets</t>
  </si>
  <si>
    <t>MSUU 2140809</t>
  </si>
  <si>
    <t>GATU 0494263</t>
  </si>
  <si>
    <t>CBHU - 5705295</t>
  </si>
  <si>
    <t>SDP</t>
  </si>
  <si>
    <t>ANC</t>
  </si>
  <si>
    <t>CBHU - 5659306</t>
  </si>
  <si>
    <t>FCIU - 3110233</t>
  </si>
  <si>
    <t>DFSU - 2027730</t>
  </si>
  <si>
    <t>HJLU 1351462</t>
  </si>
  <si>
    <t>WNBP New arrivals in Lae</t>
  </si>
  <si>
    <t>HJLU 1353871</t>
  </si>
  <si>
    <t>HJLU 1356905</t>
  </si>
  <si>
    <t>HJLU 1379618</t>
  </si>
  <si>
    <t>HJLU 1390181</t>
  </si>
  <si>
    <t>HJLU 1396209</t>
  </si>
  <si>
    <t>TEMU 4471010</t>
  </si>
  <si>
    <t>TGHU 0454865</t>
  </si>
  <si>
    <t>TGHU 1097490</t>
  </si>
  <si>
    <t>TGHU 1692174</t>
  </si>
  <si>
    <t>TGHU 1752205</t>
  </si>
  <si>
    <t>TGHU 1840414</t>
  </si>
  <si>
    <t>GATU 1369100</t>
  </si>
  <si>
    <t>ANC New Arrivals</t>
  </si>
  <si>
    <t>TEMU 2987136</t>
  </si>
  <si>
    <t>TEXU 16088313</t>
  </si>
  <si>
    <t>TGHU 0154750</t>
  </si>
  <si>
    <t>TGHU 0426610</t>
  </si>
  <si>
    <t>TGHU 0441180</t>
  </si>
  <si>
    <t>CLHU 3722945</t>
  </si>
  <si>
    <t>EFM Lae-ETA 14.10.25</t>
  </si>
  <si>
    <t>East New Britain Nets - New Arrivals</t>
  </si>
  <si>
    <t>CLHU 3834689</t>
  </si>
  <si>
    <t>GATU 1285859</t>
  </si>
  <si>
    <t>TEMU 2999564</t>
  </si>
  <si>
    <t>TEMU 3325448</t>
  </si>
  <si>
    <t>TGHU 0320280</t>
  </si>
  <si>
    <t>TGHU 1016837</t>
  </si>
  <si>
    <t>TGHU 1548613</t>
  </si>
  <si>
    <t>TGHU 3952331</t>
  </si>
  <si>
    <t>TGHU 3953169</t>
  </si>
  <si>
    <t>XINU 1295102</t>
  </si>
  <si>
    <t>CLHU 3863603</t>
  </si>
  <si>
    <t>New arrivals ANC</t>
  </si>
  <si>
    <t>AMFU 3238531</t>
  </si>
  <si>
    <t>CLHU 3833759</t>
  </si>
  <si>
    <t>AROB Nets - New Arrivals</t>
  </si>
  <si>
    <t>CLHU 3876365</t>
  </si>
  <si>
    <t>TEMU 4110125</t>
  </si>
  <si>
    <t>TGHU 0144216</t>
  </si>
  <si>
    <t>TGHU 0575229</t>
  </si>
  <si>
    <t>TGHU 0594785</t>
  </si>
  <si>
    <t>TGHU 0676754</t>
  </si>
  <si>
    <t>TGHU 0906332</t>
  </si>
  <si>
    <t>TGHU 1201270</t>
  </si>
  <si>
    <t>TGHU 30901442</t>
  </si>
  <si>
    <t>TGHU 3903450</t>
  </si>
  <si>
    <t xml:space="preserve">CURRENT STOCK </t>
  </si>
  <si>
    <t>MAGNETS HH DiSTributiON</t>
  </si>
  <si>
    <t>YAHE HH DISTRIBUTION</t>
  </si>
  <si>
    <t>ANC NETS FOR SDP</t>
  </si>
  <si>
    <t>YAHE NETS FOR ANC</t>
  </si>
  <si>
    <t>RAM ORIGIONAL NETS</t>
  </si>
  <si>
    <t>EFM LAE</t>
  </si>
  <si>
    <t>TOTALS</t>
  </si>
  <si>
    <t>Artemether + Lumefantrine Tab., 20+120mg, blister, 24x1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</si>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</sst>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#,##0.0"/>
    <numFmt numFmtId="167" formatCode="_(* #,##0_);_(* \(#,##0\);_(* &quot;-&quot;??_);_(@_)"/>
    <numFmt numFmtId="168" formatCode="[$-409]mmm/yy;@"/>
    <numFmt numFmtId="169" formatCode="_-* #,##0_-;\-* #,##0_-;_-* &quot;-&quot;??_-;_-@_-"/>
    <numFmt numFmtId="170" formatCode="[$-409]mmm\-yy;@"/>
    <numFmt numFmtId="171" formatCode="[$-409]d\-mmm\-yy;@"/>
    <numFmt numFmtId="172" formatCode="dd/mm/yy;@"/>
    <numFmt numFmtId="173" formatCode="m/d/yy;@"/>
    <numFmt numFmtId="174" formatCode="[$]dd/mm/yyyy;@" x16r2:formatCode16="[$-en-PG,1]dd/mm/yyyy;@"/>
    <numFmt numFmtId="175" formatCode="_(* #,##0.0_);_(* \(#,##0.0\);_(* &quot;-&quot;??_);_(@_)"/>
    <numFmt numFmtId="176" formatCode="_-* #,##0.0_-;\-* #,##0.0_-;_-* &quot;-&quot;??_-;_-@_-"/>
    <numFmt numFmtId="177" formatCode="0.0"/>
  </numFmts>
  <fonts count="1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Verdana"/>
      <family val="2"/>
    </font>
    <font>
      <sz val="11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2" tint="-0.749992370372631"/>
      <name val="Calibri"/>
      <family val="2"/>
      <scheme val="minor"/>
    </font>
    <font>
      <b/>
      <sz val="9"/>
      <color theme="2" tint="-0.749992370372631"/>
      <name val="Calibri"/>
      <family val="2"/>
      <scheme val="minor"/>
    </font>
    <font>
      <i/>
      <sz val="9"/>
      <color theme="2" tint="-0.499984740745262"/>
      <name val="Calibri"/>
      <family val="2"/>
      <scheme val="minor"/>
    </font>
    <font>
      <i/>
      <sz val="9"/>
      <color theme="2" tint="-0.749992370372631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color theme="1" tint="0.249977111117893"/>
      <name val="Calibri"/>
      <family val="2"/>
      <scheme val="minor"/>
    </font>
    <font>
      <b/>
      <i/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9"/>
      <color rgb="FFFF0000"/>
      <name val="Calibri"/>
      <family val="2"/>
      <scheme val="minor"/>
    </font>
    <font>
      <b/>
      <sz val="10"/>
      <name val="Verdana"/>
      <family val="2"/>
    </font>
    <font>
      <i/>
      <sz val="9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8"/>
      <color theme="2" tint="-0.74999237037263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theme="4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0"/>
      <color theme="8" tint="-0.499984740745262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rgb="FFFFCC99"/>
      <name val="Calibri"/>
      <family val="2"/>
      <scheme val="minor"/>
    </font>
    <font>
      <b/>
      <sz val="9"/>
      <color theme="5"/>
      <name val="Calibri"/>
      <family val="2"/>
      <scheme val="minor"/>
    </font>
    <font>
      <b/>
      <i/>
      <sz val="9"/>
      <color theme="8" tint="-0.499984740745262"/>
      <name val="Calibri"/>
      <family val="2"/>
      <scheme val="minor"/>
    </font>
    <font>
      <sz val="9"/>
      <color theme="5"/>
      <name val="Calibri"/>
      <family val="2"/>
      <scheme val="minor"/>
    </font>
    <font>
      <i/>
      <sz val="9"/>
      <color theme="8" tint="-0.499984740745262"/>
      <name val="Calibri"/>
      <family val="2"/>
      <scheme val="minor"/>
    </font>
    <font>
      <i/>
      <sz val="9"/>
      <color theme="8" tint="-0.249977111117893"/>
      <name val="Calibri"/>
      <family val="2"/>
      <scheme val="minor"/>
    </font>
    <font>
      <sz val="9"/>
      <color theme="8" tint="-0.249977111117893"/>
      <name val="Calibri"/>
      <family val="2"/>
      <scheme val="minor"/>
    </font>
    <font>
      <sz val="9"/>
      <color theme="7" tint="-0.499984740745262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70C0"/>
      <name val="Calibri"/>
      <family val="2"/>
      <scheme val="minor"/>
    </font>
    <font>
      <i/>
      <sz val="9"/>
      <color rgb="FF0070C0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sz val="9"/>
      <color rgb="FFFFFF00"/>
      <name val="Calibri"/>
      <family val="2"/>
      <scheme val="minor"/>
    </font>
    <font>
      <b/>
      <i/>
      <sz val="9"/>
      <color theme="5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indexed="8"/>
      <name val="Calibri"/>
      <family val="2"/>
    </font>
    <font>
      <sz val="9"/>
      <color theme="4"/>
      <name val="Calibri"/>
      <family val="2"/>
      <scheme val="minor"/>
    </font>
    <font>
      <sz val="9"/>
      <color rgb="FF0066CC"/>
      <name val="Calibri"/>
      <family val="2"/>
      <scheme val="minor"/>
    </font>
    <font>
      <sz val="10"/>
      <name val="Verdana"/>
      <family val="2"/>
    </font>
    <font>
      <sz val="10"/>
      <color theme="1"/>
      <name val="Verdana"/>
      <family val="2"/>
    </font>
    <font>
      <sz val="9"/>
      <name val="Calibri"/>
      <family val="2"/>
    </font>
    <font>
      <sz val="9"/>
      <color rgb="FFC7090E"/>
      <name val="Calibri"/>
      <family val="2"/>
      <scheme val="minor"/>
    </font>
    <font>
      <i/>
      <sz val="9"/>
      <color theme="4"/>
      <name val="Calibri"/>
      <family val="2"/>
      <scheme val="minor"/>
    </font>
    <font>
      <b/>
      <sz val="14"/>
      <color theme="1" tint="0.14999847407452621"/>
      <name val="Calibri"/>
      <family val="2"/>
      <scheme val="minor"/>
    </font>
    <font>
      <b/>
      <i/>
      <sz val="14"/>
      <color theme="4" tint="-0.499984740745262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b/>
      <i/>
      <sz val="10"/>
      <color theme="4" tint="-0.499984740745262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theme="1" tint="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rgb="FFFF330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rgb="FF222222"/>
      <name val="Arial"/>
      <family val="2"/>
    </font>
    <font>
      <sz val="9"/>
      <color rgb="FFC00000"/>
      <name val="Calibri"/>
      <family val="2"/>
      <scheme val="minor"/>
    </font>
    <font>
      <i/>
      <sz val="9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9"/>
      <color theme="4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4"/>
      <color theme="5"/>
      <name val="Calibri"/>
      <family val="2"/>
      <scheme val="minor"/>
    </font>
    <font>
      <i/>
      <sz val="12"/>
      <color theme="9" tint="-0.499984740745262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theme="1" tint="0.34998626667073579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sz val="12"/>
      <color rgb="FF0070C0"/>
      <name val="Calibri"/>
      <family val="2"/>
      <scheme val="minor"/>
    </font>
    <font>
      <sz val="9"/>
      <color theme="1"/>
      <name val="Calibri"/>
      <family val="2"/>
    </font>
    <font>
      <u val="singleAccounting"/>
      <sz val="9"/>
      <name val="Calibri"/>
      <family val="2"/>
      <scheme val="minor"/>
    </font>
    <font>
      <b/>
      <sz val="9"/>
      <color theme="4"/>
      <name val="Calibri"/>
      <family val="2"/>
      <scheme val="minor"/>
    </font>
    <font>
      <b/>
      <sz val="11"/>
      <color rgb="FF000000"/>
      <name val="Verdana"/>
      <family val="2"/>
    </font>
    <font>
      <sz val="11"/>
      <color rgb="FF0000FF"/>
      <name val="Verdana"/>
      <family val="2"/>
    </font>
    <font>
      <sz val="11"/>
      <color rgb="FF000000"/>
      <name val="Verdana"/>
      <family val="2"/>
    </font>
    <font>
      <b/>
      <sz val="11"/>
      <color rgb="FF0000FF"/>
      <name val="Verdan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rgb="FFFF3300"/>
      <name val="Calibri"/>
      <family val="2"/>
      <scheme val="minor"/>
    </font>
    <font>
      <b/>
      <sz val="16"/>
      <name val="Calibri"/>
      <family val="2"/>
      <scheme val="minor"/>
    </font>
    <font>
      <sz val="10"/>
      <color rgb="FF500050"/>
      <name val="Verdana"/>
      <family val="2"/>
    </font>
    <font>
      <b/>
      <sz val="12"/>
      <color rgb="FF000000"/>
      <name val="Verdana"/>
      <family val="2"/>
    </font>
    <font>
      <sz val="12"/>
      <name val="Verdana"/>
      <family val="2"/>
    </font>
    <font>
      <b/>
      <sz val="11"/>
      <color rgb="FFFA7D00"/>
      <name val="Calibri"/>
      <family val="2"/>
      <scheme val="minor"/>
    </font>
    <font>
      <b/>
      <sz val="11"/>
      <color theme="1"/>
      <name val="Arial"/>
      <family val="2"/>
    </font>
    <font>
      <sz val="12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theme="8" tint="0.59999389629810485"/>
      </patternFill>
    </fill>
    <fill>
      <patternFill patternType="solid">
        <fgColor theme="4" tint="0.59999389629810485"/>
        <bgColor theme="8" tint="0.79998168889431442"/>
      </patternFill>
    </fill>
    <fill>
      <patternFill patternType="solid">
        <fgColor theme="4" tint="0.39997558519241921"/>
        <bgColor theme="8" tint="0.59999389629810485"/>
      </patternFill>
    </fill>
    <fill>
      <patternFill patternType="solid">
        <fgColor theme="4" tint="0.39997558519241921"/>
        <bgColor theme="8" tint="0.79998168889431442"/>
      </patternFill>
    </fill>
    <fill>
      <patternFill patternType="solid">
        <fgColor theme="4" tint="0.79998168889431442"/>
        <bgColor theme="8" tint="0.59999389629810485"/>
      </patternFill>
    </fill>
    <fill>
      <patternFill patternType="solid">
        <fgColor theme="4" tint="0.79998168889431442"/>
        <bgColor theme="8" tint="0.79998168889431442"/>
      </patternFill>
    </fill>
    <fill>
      <patternFill patternType="solid">
        <fgColor theme="0"/>
        <bgColor theme="8" tint="0.59999389629810485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8" fillId="0" borderId="0"/>
    <xf numFmtId="0" fontId="139" fillId="41" borderId="79" applyNumberFormat="0" applyAlignment="0" applyProtection="0"/>
  </cellStyleXfs>
  <cellXfs count="1351">
    <xf numFmtId="0" fontId="0" fillId="0" borderId="0" xfId="0"/>
    <xf numFmtId="3" fontId="0" fillId="0" borderId="0" xfId="0" applyNumberFormat="1"/>
    <xf numFmtId="0" fontId="0" fillId="0" borderId="0" xfId="0" applyAlignment="1">
      <alignment vertical="center"/>
    </xf>
    <xf numFmtId="0" fontId="0" fillId="0" borderId="2" xfId="0" applyBorder="1"/>
    <xf numFmtId="166" fontId="0" fillId="3" borderId="1" xfId="0" applyNumberFormat="1" applyFill="1" applyBorder="1" applyAlignment="1">
      <alignment wrapText="1"/>
    </xf>
    <xf numFmtId="166" fontId="0" fillId="3" borderId="1" xfId="0" applyNumberFormat="1" applyFill="1" applyBorder="1"/>
    <xf numFmtId="0" fontId="4" fillId="0" borderId="0" xfId="0" applyFont="1"/>
    <xf numFmtId="3" fontId="9" fillId="0" borderId="0" xfId="0" applyNumberFormat="1" applyFont="1"/>
    <xf numFmtId="0" fontId="9" fillId="0" borderId="0" xfId="0" applyFont="1"/>
    <xf numFmtId="0" fontId="8" fillId="0" borderId="0" xfId="0" applyFont="1"/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 wrapText="1"/>
    </xf>
    <xf numFmtId="0" fontId="4" fillId="3" borderId="1" xfId="0" applyFont="1" applyFill="1" applyBorder="1"/>
    <xf numFmtId="3" fontId="4" fillId="3" borderId="1" xfId="0" applyNumberFormat="1" applyFont="1" applyFill="1" applyBorder="1"/>
    <xf numFmtId="3" fontId="0" fillId="4" borderId="1" xfId="0" applyNumberFormat="1" applyFill="1" applyBorder="1" applyAlignment="1">
      <alignment horizontal="center" vertical="center" wrapText="1"/>
    </xf>
    <xf numFmtId="3" fontId="4" fillId="4" borderId="1" xfId="0" applyNumberFormat="1" applyFont="1" applyFill="1" applyBorder="1"/>
    <xf numFmtId="0" fontId="10" fillId="0" borderId="0" xfId="0" applyFont="1"/>
    <xf numFmtId="167" fontId="0" fillId="0" borderId="0" xfId="1" applyNumberFormat="1" applyFont="1"/>
    <xf numFmtId="0" fontId="4" fillId="0" borderId="0" xfId="0" applyFont="1" applyAlignment="1">
      <alignment wrapText="1"/>
    </xf>
    <xf numFmtId="0" fontId="3" fillId="0" borderId="0" xfId="0" applyFont="1"/>
    <xf numFmtId="0" fontId="14" fillId="0" borderId="0" xfId="0" applyFont="1"/>
    <xf numFmtId="0" fontId="14" fillId="0" borderId="1" xfId="0" applyFont="1" applyBorder="1" applyAlignment="1">
      <alignment wrapText="1"/>
    </xf>
    <xf numFmtId="3" fontId="14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3" fontId="14" fillId="0" borderId="1" xfId="0" applyNumberFormat="1" applyFont="1" applyBorder="1" applyAlignment="1">
      <alignment horizontal="right" vertical="center"/>
    </xf>
    <xf numFmtId="0" fontId="14" fillId="0" borderId="1" xfId="0" applyFont="1" applyBorder="1"/>
    <xf numFmtId="3" fontId="14" fillId="4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/>
    <xf numFmtId="0" fontId="17" fillId="0" borderId="0" xfId="0" applyFont="1" applyAlignment="1">
      <alignment vertical="center"/>
    </xf>
    <xf numFmtId="0" fontId="21" fillId="0" borderId="0" xfId="0" applyFont="1"/>
    <xf numFmtId="0" fontId="24" fillId="0" borderId="0" xfId="0" applyFont="1"/>
    <xf numFmtId="0" fontId="26" fillId="0" borderId="1" xfId="0" applyFont="1" applyBorder="1"/>
    <xf numFmtId="0" fontId="19" fillId="0" borderId="0" xfId="0" applyFont="1" applyAlignment="1">
      <alignment horizontal="center"/>
    </xf>
    <xf numFmtId="3" fontId="16" fillId="0" borderId="0" xfId="0" applyNumberFormat="1" applyFont="1"/>
    <xf numFmtId="0" fontId="16" fillId="3" borderId="1" xfId="0" applyFont="1" applyFill="1" applyBorder="1" applyAlignment="1">
      <alignment vertical="center"/>
    </xf>
    <xf numFmtId="0" fontId="17" fillId="0" borderId="0" xfId="0" applyFont="1"/>
    <xf numFmtId="0" fontId="27" fillId="0" borderId="0" xfId="0" applyFont="1"/>
    <xf numFmtId="3" fontId="27" fillId="3" borderId="1" xfId="0" applyNumberFormat="1" applyFont="1" applyFill="1" applyBorder="1" applyAlignment="1">
      <alignment horizontal="center"/>
    </xf>
    <xf numFmtId="0" fontId="28" fillId="0" borderId="1" xfId="0" applyFont="1" applyBorder="1"/>
    <xf numFmtId="167" fontId="18" fillId="0" borderId="0" xfId="0" applyNumberFormat="1" applyFont="1"/>
    <xf numFmtId="4" fontId="4" fillId="0" borderId="13" xfId="0" applyNumberFormat="1" applyFont="1" applyBorder="1"/>
    <xf numFmtId="168" fontId="0" fillId="0" borderId="22" xfId="0" applyNumberFormat="1" applyBorder="1"/>
    <xf numFmtId="3" fontId="5" fillId="0" borderId="0" xfId="0" applyNumberFormat="1" applyFont="1"/>
    <xf numFmtId="0" fontId="32" fillId="10" borderId="40" xfId="0" applyFont="1" applyFill="1" applyBorder="1" applyAlignment="1">
      <alignment vertical="center"/>
    </xf>
    <xf numFmtId="0" fontId="32" fillId="10" borderId="41" xfId="0" applyFont="1" applyFill="1" applyBorder="1" applyAlignment="1">
      <alignment vertical="center"/>
    </xf>
    <xf numFmtId="0" fontId="32" fillId="10" borderId="41" xfId="0" applyFont="1" applyFill="1" applyBorder="1" applyAlignment="1">
      <alignment horizontal="left" vertical="center"/>
    </xf>
    <xf numFmtId="0" fontId="32" fillId="9" borderId="40" xfId="0" applyFont="1" applyFill="1" applyBorder="1" applyAlignment="1">
      <alignment vertical="center"/>
    </xf>
    <xf numFmtId="0" fontId="32" fillId="9" borderId="41" xfId="0" applyFont="1" applyFill="1" applyBorder="1" applyAlignment="1">
      <alignment vertical="center"/>
    </xf>
    <xf numFmtId="0" fontId="32" fillId="9" borderId="41" xfId="0" applyFont="1" applyFill="1" applyBorder="1" applyAlignment="1">
      <alignment horizontal="left" vertical="center"/>
    </xf>
    <xf numFmtId="167" fontId="13" fillId="9" borderId="41" xfId="1" applyNumberFormat="1" applyFont="1" applyFill="1" applyBorder="1"/>
    <xf numFmtId="167" fontId="13" fillId="9" borderId="42" xfId="1" applyNumberFormat="1" applyFont="1" applyFill="1" applyBorder="1"/>
    <xf numFmtId="167" fontId="13" fillId="10" borderId="41" xfId="1" applyNumberFormat="1" applyFont="1" applyFill="1" applyBorder="1"/>
    <xf numFmtId="0" fontId="32" fillId="9" borderId="42" xfId="0" applyFont="1" applyFill="1" applyBorder="1" applyAlignment="1">
      <alignment vertical="center"/>
    </xf>
    <xf numFmtId="0" fontId="31" fillId="9" borderId="41" xfId="0" applyFont="1" applyFill="1" applyBorder="1"/>
    <xf numFmtId="0" fontId="31" fillId="9" borderId="42" xfId="0" applyFont="1" applyFill="1" applyBorder="1"/>
    <xf numFmtId="0" fontId="32" fillId="10" borderId="42" xfId="0" applyFont="1" applyFill="1" applyBorder="1" applyAlignment="1">
      <alignment vertical="center"/>
    </xf>
    <xf numFmtId="0" fontId="31" fillId="9" borderId="40" xfId="0" applyFont="1" applyFill="1" applyBorder="1"/>
    <xf numFmtId="0" fontId="31" fillId="9" borderId="41" xfId="0" applyFont="1" applyFill="1" applyBorder="1" applyAlignment="1">
      <alignment horizontal="left"/>
    </xf>
    <xf numFmtId="0" fontId="13" fillId="9" borderId="41" xfId="0" applyFont="1" applyFill="1" applyBorder="1"/>
    <xf numFmtId="0" fontId="13" fillId="9" borderId="41" xfId="0" applyFont="1" applyFill="1" applyBorder="1" applyAlignment="1">
      <alignment horizontal="left"/>
    </xf>
    <xf numFmtId="0" fontId="13" fillId="9" borderId="41" xfId="0" applyFont="1" applyFill="1" applyBorder="1" applyAlignment="1">
      <alignment horizontal="right"/>
    </xf>
    <xf numFmtId="0" fontId="13" fillId="10" borderId="41" xfId="0" applyFont="1" applyFill="1" applyBorder="1"/>
    <xf numFmtId="0" fontId="13" fillId="10" borderId="41" xfId="0" applyFont="1" applyFill="1" applyBorder="1" applyAlignment="1">
      <alignment horizontal="left"/>
    </xf>
    <xf numFmtId="0" fontId="13" fillId="10" borderId="41" xfId="0" applyFont="1" applyFill="1" applyBorder="1" applyAlignment="1">
      <alignment horizontal="right"/>
    </xf>
    <xf numFmtId="0" fontId="33" fillId="9" borderId="43" xfId="0" applyFont="1" applyFill="1" applyBorder="1" applyAlignment="1">
      <alignment vertical="center"/>
    </xf>
    <xf numFmtId="0" fontId="33" fillId="9" borderId="44" xfId="0" applyFont="1" applyFill="1" applyBorder="1" applyAlignment="1">
      <alignment vertical="center"/>
    </xf>
    <xf numFmtId="0" fontId="33" fillId="9" borderId="44" xfId="0" applyFont="1" applyFill="1" applyBorder="1" applyAlignment="1">
      <alignment horizontal="left" vertical="center"/>
    </xf>
    <xf numFmtId="0" fontId="33" fillId="9" borderId="45" xfId="0" applyFont="1" applyFill="1" applyBorder="1" applyAlignment="1">
      <alignment vertical="center"/>
    </xf>
    <xf numFmtId="14" fontId="13" fillId="10" borderId="41" xfId="0" applyNumberFormat="1" applyFont="1" applyFill="1" applyBorder="1" applyAlignment="1">
      <alignment horizontal="left"/>
    </xf>
    <xf numFmtId="167" fontId="33" fillId="9" borderId="44" xfId="1" applyNumberFormat="1" applyFont="1" applyFill="1" applyBorder="1" applyAlignment="1">
      <alignment horizontal="center" vertical="center" wrapText="1"/>
    </xf>
    <xf numFmtId="167" fontId="32" fillId="10" borderId="41" xfId="1" applyNumberFormat="1" applyFont="1" applyFill="1" applyBorder="1" applyAlignment="1">
      <alignment vertical="center"/>
    </xf>
    <xf numFmtId="167" fontId="31" fillId="9" borderId="41" xfId="1" applyNumberFormat="1" applyFont="1" applyFill="1" applyBorder="1"/>
    <xf numFmtId="167" fontId="32" fillId="10" borderId="42" xfId="1" applyNumberFormat="1" applyFont="1" applyFill="1" applyBorder="1" applyAlignment="1">
      <alignment vertical="center"/>
    </xf>
    <xf numFmtId="167" fontId="13" fillId="9" borderId="41" xfId="1" applyNumberFormat="1" applyFont="1" applyFill="1" applyBorder="1" applyAlignment="1">
      <alignment horizontal="right"/>
    </xf>
    <xf numFmtId="167" fontId="13" fillId="10" borderId="41" xfId="1" applyNumberFormat="1" applyFont="1" applyFill="1" applyBorder="1" applyAlignment="1">
      <alignment horizontal="right"/>
    </xf>
    <xf numFmtId="167" fontId="32" fillId="9" borderId="41" xfId="1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3" fillId="10" borderId="42" xfId="0" applyFont="1" applyFill="1" applyBorder="1"/>
    <xf numFmtId="0" fontId="13" fillId="9" borderId="42" xfId="0" applyFont="1" applyFill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5" fillId="0" borderId="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36" fillId="0" borderId="7" xfId="0" applyFont="1" applyBorder="1" applyAlignment="1">
      <alignment horizontal="left" vertical="center" wrapText="1"/>
    </xf>
    <xf numFmtId="0" fontId="21" fillId="11" borderId="1" xfId="0" applyFont="1" applyFill="1" applyBorder="1"/>
    <xf numFmtId="167" fontId="21" fillId="11" borderId="1" xfId="1" applyNumberFormat="1" applyFont="1" applyFill="1" applyBorder="1"/>
    <xf numFmtId="167" fontId="22" fillId="11" borderId="1" xfId="1" applyNumberFormat="1" applyFont="1" applyFill="1" applyBorder="1"/>
    <xf numFmtId="164" fontId="21" fillId="11" borderId="1" xfId="1" applyNumberFormat="1" applyFont="1" applyFill="1" applyBorder="1"/>
    <xf numFmtId="167" fontId="18" fillId="11" borderId="9" xfId="0" applyNumberFormat="1" applyFont="1" applyFill="1" applyBorder="1"/>
    <xf numFmtId="164" fontId="16" fillId="11" borderId="14" xfId="0" applyNumberFormat="1" applyFont="1" applyFill="1" applyBorder="1"/>
    <xf numFmtId="0" fontId="21" fillId="11" borderId="6" xfId="0" applyFont="1" applyFill="1" applyBorder="1" applyAlignment="1">
      <alignment horizontal="center"/>
    </xf>
    <xf numFmtId="0" fontId="21" fillId="11" borderId="7" xfId="0" applyFont="1" applyFill="1" applyBorder="1" applyAlignment="1">
      <alignment horizontal="center"/>
    </xf>
    <xf numFmtId="0" fontId="37" fillId="0" borderId="0" xfId="0" applyFont="1"/>
    <xf numFmtId="0" fontId="25" fillId="0" borderId="1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24" fillId="0" borderId="6" xfId="0" applyFont="1" applyBorder="1" applyAlignment="1">
      <alignment horizontal="center" wrapText="1"/>
    </xf>
    <xf numFmtId="14" fontId="31" fillId="9" borderId="41" xfId="0" applyNumberFormat="1" applyFont="1" applyFill="1" applyBorder="1" applyAlignment="1">
      <alignment horizontal="left"/>
    </xf>
    <xf numFmtId="14" fontId="13" fillId="9" borderId="4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3" fontId="0" fillId="0" borderId="21" xfId="0" quotePrefix="1" applyNumberFormat="1" applyBorder="1"/>
    <xf numFmtId="4" fontId="6" fillId="0" borderId="13" xfId="0" applyNumberFormat="1" applyFont="1" applyBorder="1" applyAlignment="1" applyProtection="1">
      <alignment horizontal="right" vertical="center" wrapText="1"/>
      <protection locked="0"/>
    </xf>
    <xf numFmtId="3" fontId="10" fillId="0" borderId="30" xfId="0" applyNumberFormat="1" applyFont="1" applyBorder="1"/>
    <xf numFmtId="0" fontId="10" fillId="0" borderId="30" xfId="0" applyFont="1" applyBorder="1"/>
    <xf numFmtId="3" fontId="15" fillId="0" borderId="31" xfId="0" applyNumberFormat="1" applyFont="1" applyBorder="1"/>
    <xf numFmtId="3" fontId="15" fillId="5" borderId="31" xfId="0" applyNumberFormat="1" applyFont="1" applyFill="1" applyBorder="1"/>
    <xf numFmtId="3" fontId="10" fillId="3" borderId="23" xfId="0" applyNumberFormat="1" applyFont="1" applyFill="1" applyBorder="1"/>
    <xf numFmtId="3" fontId="10" fillId="4" borderId="23" xfId="0" applyNumberFormat="1" applyFont="1" applyFill="1" applyBorder="1"/>
    <xf numFmtId="0" fontId="38" fillId="0" borderId="9" xfId="0" applyFont="1" applyBorder="1" applyAlignment="1">
      <alignment wrapText="1"/>
    </xf>
    <xf numFmtId="3" fontId="38" fillId="0" borderId="9" xfId="0" applyNumberFormat="1" applyFont="1" applyBorder="1" applyAlignment="1">
      <alignment vertical="center"/>
    </xf>
    <xf numFmtId="3" fontId="38" fillId="0" borderId="9" xfId="0" applyNumberFormat="1" applyFont="1" applyBorder="1"/>
    <xf numFmtId="3" fontId="38" fillId="0" borderId="14" xfId="0" applyNumberFormat="1" applyFont="1" applyBorder="1" applyAlignment="1">
      <alignment horizontal="right" vertical="center"/>
    </xf>
    <xf numFmtId="3" fontId="38" fillId="4" borderId="9" xfId="0" applyNumberFormat="1" applyFont="1" applyFill="1" applyBorder="1" applyAlignment="1">
      <alignment horizontal="right" vertical="center"/>
    </xf>
    <xf numFmtId="0" fontId="14" fillId="0" borderId="31" xfId="0" applyFont="1" applyBorder="1" applyAlignment="1">
      <alignment wrapText="1"/>
    </xf>
    <xf numFmtId="3" fontId="14" fillId="0" borderId="31" xfId="0" applyNumberFormat="1" applyFont="1" applyBorder="1" applyAlignment="1">
      <alignment vertical="center"/>
    </xf>
    <xf numFmtId="3" fontId="14" fillId="0" borderId="31" xfId="0" applyNumberFormat="1" applyFont="1" applyBorder="1"/>
    <xf numFmtId="3" fontId="14" fillId="0" borderId="31" xfId="0" applyNumberFormat="1" applyFont="1" applyBorder="1" applyAlignment="1">
      <alignment horizontal="right" vertical="center"/>
    </xf>
    <xf numFmtId="0" fontId="7" fillId="0" borderId="0" xfId="0" applyFont="1"/>
    <xf numFmtId="0" fontId="20" fillId="0" borderId="0" xfId="0" applyFont="1"/>
    <xf numFmtId="0" fontId="2" fillId="0" borderId="0" xfId="0" applyFont="1"/>
    <xf numFmtId="0" fontId="17" fillId="3" borderId="1" xfId="0" applyFont="1" applyFill="1" applyBorder="1"/>
    <xf numFmtId="3" fontId="17" fillId="3" borderId="1" xfId="0" applyNumberFormat="1" applyFont="1" applyFill="1" applyBorder="1" applyAlignment="1">
      <alignment horizontal="center"/>
    </xf>
    <xf numFmtId="0" fontId="33" fillId="9" borderId="44" xfId="0" applyFont="1" applyFill="1" applyBorder="1" applyAlignment="1">
      <alignment vertical="center" wrapText="1"/>
    </xf>
    <xf numFmtId="167" fontId="33" fillId="9" borderId="44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21" fillId="0" borderId="1" xfId="0" applyFont="1" applyBorder="1" applyAlignment="1">
      <alignment horizontal="center"/>
    </xf>
    <xf numFmtId="0" fontId="41" fillId="0" borderId="1" xfId="0" applyFont="1" applyBorder="1" applyAlignment="1">
      <alignment vertical="center" wrapText="1"/>
    </xf>
    <xf numFmtId="0" fontId="21" fillId="0" borderId="25" xfId="0" applyFont="1" applyBorder="1" applyAlignment="1">
      <alignment horizontal="center"/>
    </xf>
    <xf numFmtId="0" fontId="21" fillId="0" borderId="2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6" fillId="0" borderId="49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10" borderId="40" xfId="0" applyFont="1" applyFill="1" applyBorder="1"/>
    <xf numFmtId="0" fontId="17" fillId="0" borderId="6" xfId="0" applyFont="1" applyBorder="1" applyAlignment="1">
      <alignment horizontal="left" vertical="center" wrapText="1"/>
    </xf>
    <xf numFmtId="0" fontId="42" fillId="0" borderId="0" xfId="0" applyFont="1"/>
    <xf numFmtId="0" fontId="10" fillId="0" borderId="23" xfId="0" applyFont="1" applyBorder="1"/>
    <xf numFmtId="0" fontId="7" fillId="8" borderId="1" xfId="0" applyFont="1" applyFill="1" applyBorder="1"/>
    <xf numFmtId="3" fontId="7" fillId="8" borderId="1" xfId="0" applyNumberFormat="1" applyFont="1" applyFill="1" applyBorder="1"/>
    <xf numFmtId="0" fontId="20" fillId="7" borderId="13" xfId="0" applyFont="1" applyFill="1" applyBorder="1" applyAlignment="1">
      <alignment horizontal="center"/>
    </xf>
    <xf numFmtId="167" fontId="21" fillId="7" borderId="1" xfId="1" applyNumberFormat="1" applyFont="1" applyFill="1" applyBorder="1"/>
    <xf numFmtId="0" fontId="20" fillId="8" borderId="13" xfId="0" applyFont="1" applyFill="1" applyBorder="1" applyAlignment="1">
      <alignment horizontal="center"/>
    </xf>
    <xf numFmtId="167" fontId="21" fillId="8" borderId="1" xfId="1" applyNumberFormat="1" applyFont="1" applyFill="1" applyBorder="1"/>
    <xf numFmtId="167" fontId="22" fillId="8" borderId="1" xfId="1" applyNumberFormat="1" applyFont="1" applyFill="1" applyBorder="1"/>
    <xf numFmtId="164" fontId="21" fillId="8" borderId="1" xfId="1" applyNumberFormat="1" applyFont="1" applyFill="1" applyBorder="1"/>
    <xf numFmtId="167" fontId="18" fillId="8" borderId="9" xfId="1" applyNumberFormat="1" applyFont="1" applyFill="1" applyBorder="1" applyAlignment="1">
      <alignment vertical="center"/>
    </xf>
    <xf numFmtId="167" fontId="18" fillId="8" borderId="1" xfId="1" applyNumberFormat="1" applyFont="1" applyFill="1" applyBorder="1"/>
    <xf numFmtId="167" fontId="25" fillId="8" borderId="1" xfId="1" applyNumberFormat="1" applyFont="1" applyFill="1" applyBorder="1" applyAlignment="1">
      <alignment horizontal="left" vertical="center"/>
    </xf>
    <xf numFmtId="164" fontId="25" fillId="8" borderId="1" xfId="1" applyNumberFormat="1" applyFont="1" applyFill="1" applyBorder="1" applyAlignment="1">
      <alignment horizontal="left" vertical="center"/>
    </xf>
    <xf numFmtId="167" fontId="28" fillId="8" borderId="1" xfId="1" applyNumberFormat="1" applyFont="1" applyFill="1" applyBorder="1"/>
    <xf numFmtId="167" fontId="29" fillId="8" borderId="1" xfId="1" applyNumberFormat="1" applyFont="1" applyFill="1" applyBorder="1"/>
    <xf numFmtId="164" fontId="30" fillId="8" borderId="1" xfId="1" applyNumberFormat="1" applyFont="1" applyFill="1" applyBorder="1" applyAlignment="1">
      <alignment vertical="center"/>
    </xf>
    <xf numFmtId="164" fontId="28" fillId="8" borderId="1" xfId="1" applyNumberFormat="1" applyFont="1" applyFill="1" applyBorder="1"/>
    <xf numFmtId="0" fontId="43" fillId="11" borderId="1" xfId="0" applyFont="1" applyFill="1" applyBorder="1"/>
    <xf numFmtId="167" fontId="25" fillId="7" borderId="1" xfId="1" applyNumberFormat="1" applyFont="1" applyFill="1" applyBorder="1" applyAlignment="1">
      <alignment horizontal="left" vertical="center"/>
    </xf>
    <xf numFmtId="167" fontId="28" fillId="7" borderId="1" xfId="1" applyNumberFormat="1" applyFont="1" applyFill="1" applyBorder="1"/>
    <xf numFmtId="167" fontId="25" fillId="13" borderId="9" xfId="0" applyNumberFormat="1" applyFont="1" applyFill="1" applyBorder="1" applyAlignment="1">
      <alignment horizontal="left" vertical="center"/>
    </xf>
    <xf numFmtId="164" fontId="25" fillId="13" borderId="14" xfId="0" applyNumberFormat="1" applyFont="1" applyFill="1" applyBorder="1" applyAlignment="1">
      <alignment horizontal="left" vertical="center"/>
    </xf>
    <xf numFmtId="167" fontId="29" fillId="13" borderId="9" xfId="0" applyNumberFormat="1" applyFont="1" applyFill="1" applyBorder="1"/>
    <xf numFmtId="164" fontId="28" fillId="13" borderId="14" xfId="0" applyNumberFormat="1" applyFont="1" applyFill="1" applyBorder="1"/>
    <xf numFmtId="164" fontId="23" fillId="13" borderId="3" xfId="0" applyNumberFormat="1" applyFont="1" applyFill="1" applyBorder="1"/>
    <xf numFmtId="167" fontId="18" fillId="13" borderId="9" xfId="0" applyNumberFormat="1" applyFont="1" applyFill="1" applyBorder="1"/>
    <xf numFmtId="167" fontId="21" fillId="13" borderId="9" xfId="0" applyNumberFormat="1" applyFont="1" applyFill="1" applyBorder="1"/>
    <xf numFmtId="164" fontId="21" fillId="13" borderId="14" xfId="0" applyNumberFormat="1" applyFont="1" applyFill="1" applyBorder="1"/>
    <xf numFmtId="167" fontId="20" fillId="13" borderId="9" xfId="0" applyNumberFormat="1" applyFont="1" applyFill="1" applyBorder="1" applyAlignment="1">
      <alignment vertical="center"/>
    </xf>
    <xf numFmtId="167" fontId="18" fillId="13" borderId="9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3" fontId="42" fillId="0" borderId="0" xfId="0" applyNumberFormat="1" applyFont="1"/>
    <xf numFmtId="0" fontId="44" fillId="0" borderId="0" xfId="0" applyFont="1"/>
    <xf numFmtId="3" fontId="7" fillId="8" borderId="1" xfId="1" applyNumberFormat="1" applyFont="1" applyFill="1" applyBorder="1" applyAlignment="1">
      <alignment horizontal="right"/>
    </xf>
    <xf numFmtId="3" fontId="7" fillId="8" borderId="1" xfId="1" applyNumberFormat="1" applyFont="1" applyFill="1" applyBorder="1"/>
    <xf numFmtId="3" fontId="47" fillId="0" borderId="0" xfId="0" applyNumberFormat="1" applyFont="1"/>
    <xf numFmtId="0" fontId="0" fillId="13" borderId="1" xfId="0" applyFill="1" applyBorder="1" applyAlignment="1">
      <alignment vertical="center"/>
    </xf>
    <xf numFmtId="3" fontId="0" fillId="13" borderId="1" xfId="0" applyNumberFormat="1" applyFill="1" applyBorder="1" applyAlignment="1">
      <alignment horizontal="center" vertical="center"/>
    </xf>
    <xf numFmtId="3" fontId="0" fillId="13" borderId="1" xfId="0" applyNumberFormat="1" applyFill="1" applyBorder="1" applyAlignment="1">
      <alignment horizontal="center" vertical="center" wrapText="1"/>
    </xf>
    <xf numFmtId="0" fontId="4" fillId="13" borderId="1" xfId="0" applyFont="1" applyFill="1" applyBorder="1"/>
    <xf numFmtId="3" fontId="4" fillId="13" borderId="1" xfId="0" applyNumberFormat="1" applyFont="1" applyFill="1" applyBorder="1"/>
    <xf numFmtId="3" fontId="4" fillId="13" borderId="0" xfId="0" applyNumberFormat="1" applyFont="1" applyFill="1"/>
    <xf numFmtId="0" fontId="10" fillId="13" borderId="1" xfId="0" applyFont="1" applyFill="1" applyBorder="1"/>
    <xf numFmtId="3" fontId="10" fillId="13" borderId="1" xfId="0" applyNumberFormat="1" applyFont="1" applyFill="1" applyBorder="1"/>
    <xf numFmtId="0" fontId="15" fillId="13" borderId="1" xfId="0" applyFont="1" applyFill="1" applyBorder="1"/>
    <xf numFmtId="3" fontId="15" fillId="13" borderId="9" xfId="0" applyNumberFormat="1" applyFont="1" applyFill="1" applyBorder="1" applyAlignment="1">
      <alignment horizontal="center"/>
    </xf>
    <xf numFmtId="3" fontId="45" fillId="0" borderId="0" xfId="0" applyNumberFormat="1" applyFont="1"/>
    <xf numFmtId="3" fontId="15" fillId="6" borderId="9" xfId="0" applyNumberFormat="1" applyFont="1" applyFill="1" applyBorder="1" applyAlignment="1">
      <alignment horizontal="center"/>
    </xf>
    <xf numFmtId="0" fontId="10" fillId="6" borderId="1" xfId="0" applyFont="1" applyFill="1" applyBorder="1"/>
    <xf numFmtId="3" fontId="10" fillId="6" borderId="1" xfId="0" applyNumberFormat="1" applyFont="1" applyFill="1" applyBorder="1"/>
    <xf numFmtId="0" fontId="0" fillId="6" borderId="1" xfId="0" applyFill="1" applyBorder="1" applyAlignment="1">
      <alignment vertical="center"/>
    </xf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 vertical="center" wrapText="1"/>
    </xf>
    <xf numFmtId="0" fontId="4" fillId="6" borderId="1" xfId="0" applyFont="1" applyFill="1" applyBorder="1"/>
    <xf numFmtId="3" fontId="4" fillId="6" borderId="1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7" fillId="17" borderId="1" xfId="0" applyFont="1" applyFill="1" applyBorder="1"/>
    <xf numFmtId="3" fontId="17" fillId="17" borderId="1" xfId="0" applyNumberFormat="1" applyFont="1" applyFill="1" applyBorder="1" applyAlignment="1">
      <alignment horizontal="center"/>
    </xf>
    <xf numFmtId="0" fontId="16" fillId="17" borderId="1" xfId="0" applyFont="1" applyFill="1" applyBorder="1" applyAlignment="1">
      <alignment vertical="center"/>
    </xf>
    <xf numFmtId="3" fontId="17" fillId="17" borderId="1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0" fontId="43" fillId="18" borderId="1" xfId="0" applyFont="1" applyFill="1" applyBorder="1"/>
    <xf numFmtId="0" fontId="51" fillId="18" borderId="1" xfId="0" applyFont="1" applyFill="1" applyBorder="1"/>
    <xf numFmtId="167" fontId="51" fillId="18" borderId="1" xfId="1" applyNumberFormat="1" applyFont="1" applyFill="1" applyBorder="1"/>
    <xf numFmtId="167" fontId="52" fillId="18" borderId="1" xfId="1" applyNumberFormat="1" applyFont="1" applyFill="1" applyBorder="1"/>
    <xf numFmtId="164" fontId="51" fillId="18" borderId="1" xfId="1" applyNumberFormat="1" applyFont="1" applyFill="1" applyBorder="1"/>
    <xf numFmtId="167" fontId="52" fillId="18" borderId="9" xfId="0" applyNumberFormat="1" applyFont="1" applyFill="1" applyBorder="1"/>
    <xf numFmtId="164" fontId="51" fillId="18" borderId="14" xfId="0" applyNumberFormat="1" applyFont="1" applyFill="1" applyBorder="1"/>
    <xf numFmtId="0" fontId="51" fillId="18" borderId="10" xfId="0" applyFont="1" applyFill="1" applyBorder="1" applyAlignment="1">
      <alignment horizontal="center"/>
    </xf>
    <xf numFmtId="0" fontId="51" fillId="18" borderId="11" xfId="0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0" fontId="50" fillId="14" borderId="0" xfId="0" applyFont="1" applyFill="1" applyAlignment="1">
      <alignment horizontal="left"/>
    </xf>
    <xf numFmtId="3" fontId="3" fillId="0" borderId="20" xfId="0" applyNumberFormat="1" applyFont="1" applyBorder="1" applyAlignment="1">
      <alignment horizontal="center" wrapText="1"/>
    </xf>
    <xf numFmtId="4" fontId="4" fillId="0" borderId="0" xfId="0" applyNumberFormat="1" applyFont="1"/>
    <xf numFmtId="168" fontId="0" fillId="0" borderId="0" xfId="0" applyNumberFormat="1"/>
    <xf numFmtId="3" fontId="0" fillId="19" borderId="51" xfId="0" applyNumberFormat="1" applyFill="1" applyBorder="1" applyAlignment="1">
      <alignment horizontal="left"/>
    </xf>
    <xf numFmtId="168" fontId="0" fillId="0" borderId="52" xfId="0" applyNumberFormat="1" applyBorder="1"/>
    <xf numFmtId="3" fontId="4" fillId="19" borderId="50" xfId="0" applyNumberFormat="1" applyFont="1" applyFill="1" applyBorder="1" applyAlignment="1">
      <alignment horizontal="left"/>
    </xf>
    <xf numFmtId="167" fontId="18" fillId="7" borderId="9" xfId="1" applyNumberFormat="1" applyFont="1" applyFill="1" applyBorder="1" applyAlignment="1">
      <alignment vertical="center"/>
    </xf>
    <xf numFmtId="167" fontId="20" fillId="7" borderId="1" xfId="1" applyNumberFormat="1" applyFont="1" applyFill="1" applyBorder="1" applyAlignment="1">
      <alignment vertical="center"/>
    </xf>
    <xf numFmtId="167" fontId="20" fillId="8" borderId="1" xfId="1" applyNumberFormat="1" applyFont="1" applyFill="1" applyBorder="1" applyAlignment="1">
      <alignment vertical="center"/>
    </xf>
    <xf numFmtId="167" fontId="18" fillId="7" borderId="1" xfId="1" applyNumberFormat="1" applyFont="1" applyFill="1" applyBorder="1" applyAlignment="1">
      <alignment vertical="center"/>
    </xf>
    <xf numFmtId="167" fontId="18" fillId="8" borderId="1" xfId="1" applyNumberFormat="1" applyFont="1" applyFill="1" applyBorder="1" applyAlignment="1">
      <alignment vertical="center"/>
    </xf>
    <xf numFmtId="0" fontId="18" fillId="0" borderId="1" xfId="0" applyFont="1" applyBorder="1"/>
    <xf numFmtId="167" fontId="18" fillId="7" borderId="1" xfId="1" applyNumberFormat="1" applyFont="1" applyFill="1" applyBorder="1"/>
    <xf numFmtId="164" fontId="18" fillId="8" borderId="1" xfId="1" applyNumberFormat="1" applyFont="1" applyFill="1" applyBorder="1"/>
    <xf numFmtId="164" fontId="18" fillId="13" borderId="14" xfId="0" applyNumberFormat="1" applyFont="1" applyFill="1" applyBorder="1"/>
    <xf numFmtId="0" fontId="0" fillId="0" borderId="0" xfId="1" applyNumberFormat="1" applyFont="1" applyFill="1" applyAlignment="1">
      <alignment horizontal="center"/>
    </xf>
    <xf numFmtId="0" fontId="53" fillId="0" borderId="0" xfId="0" applyFont="1"/>
    <xf numFmtId="0" fontId="0" fillId="0" borderId="19" xfId="0" applyBorder="1"/>
    <xf numFmtId="0" fontId="0" fillId="0" borderId="0" xfId="1" applyNumberFormat="1" applyFont="1" applyFill="1" applyBorder="1" applyAlignment="1">
      <alignment horizontal="center"/>
    </xf>
    <xf numFmtId="0" fontId="0" fillId="0" borderId="18" xfId="1" applyNumberFormat="1" applyFont="1" applyFill="1" applyBorder="1" applyAlignment="1">
      <alignment horizontal="center"/>
    </xf>
    <xf numFmtId="170" fontId="4" fillId="13" borderId="16" xfId="0" quotePrefix="1" applyNumberFormat="1" applyFont="1" applyFill="1" applyBorder="1" applyAlignment="1">
      <alignment horizontal="center"/>
    </xf>
    <xf numFmtId="17" fontId="4" fillId="13" borderId="17" xfId="0" quotePrefix="1" applyNumberFormat="1" applyFont="1" applyFill="1" applyBorder="1" applyAlignment="1">
      <alignment horizontal="center"/>
    </xf>
    <xf numFmtId="3" fontId="4" fillId="13" borderId="50" xfId="0" applyNumberFormat="1" applyFont="1" applyFill="1" applyBorder="1" applyAlignment="1">
      <alignment horizontal="left"/>
    </xf>
    <xf numFmtId="3" fontId="0" fillId="13" borderId="51" xfId="0" applyNumberFormat="1" applyFill="1" applyBorder="1" applyAlignment="1">
      <alignment horizontal="left"/>
    </xf>
    <xf numFmtId="170" fontId="4" fillId="13" borderId="0" xfId="0" quotePrefix="1" applyNumberFormat="1" applyFont="1" applyFill="1" applyAlignment="1">
      <alignment horizontal="center"/>
    </xf>
    <xf numFmtId="17" fontId="4" fillId="13" borderId="19" xfId="0" quotePrefix="1" applyNumberFormat="1" applyFont="1" applyFill="1" applyBorder="1" applyAlignment="1">
      <alignment horizontal="center"/>
    </xf>
    <xf numFmtId="3" fontId="0" fillId="13" borderId="18" xfId="0" applyNumberFormat="1" applyFill="1" applyBorder="1" applyAlignment="1">
      <alignment horizontal="center" wrapText="1"/>
    </xf>
    <xf numFmtId="167" fontId="4" fillId="13" borderId="16" xfId="1" applyNumberFormat="1" applyFont="1" applyFill="1" applyBorder="1"/>
    <xf numFmtId="167" fontId="4" fillId="13" borderId="0" xfId="1" applyNumberFormat="1" applyFont="1" applyFill="1" applyBorder="1"/>
    <xf numFmtId="170" fontId="7" fillId="13" borderId="0" xfId="0" quotePrefix="1" applyNumberFormat="1" applyFont="1" applyFill="1" applyAlignment="1">
      <alignment horizontal="center"/>
    </xf>
    <xf numFmtId="3" fontId="0" fillId="13" borderId="0" xfId="0" applyNumberFormat="1" applyFill="1" applyAlignment="1">
      <alignment horizontal="center"/>
    </xf>
    <xf numFmtId="3" fontId="0" fillId="13" borderId="0" xfId="0" applyNumberFormat="1" applyFill="1" applyAlignment="1">
      <alignment horizontal="center" wrapText="1"/>
    </xf>
    <xf numFmtId="3" fontId="3" fillId="0" borderId="21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3" fontId="0" fillId="0" borderId="18" xfId="0" applyNumberFormat="1" applyBorder="1" applyAlignment="1">
      <alignment horizontal="center"/>
    </xf>
    <xf numFmtId="0" fontId="0" fillId="13" borderId="18" xfId="0" applyFill="1" applyBorder="1" applyAlignment="1">
      <alignment horizontal="center" wrapText="1"/>
    </xf>
    <xf numFmtId="0" fontId="0" fillId="0" borderId="18" xfId="0" applyBorder="1"/>
    <xf numFmtId="0" fontId="4" fillId="13" borderId="19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167" fontId="4" fillId="13" borderId="15" xfId="1" applyNumberFormat="1" applyFont="1" applyFill="1" applyBorder="1"/>
    <xf numFmtId="167" fontId="4" fillId="13" borderId="17" xfId="1" applyNumberFormat="1" applyFont="1" applyFill="1" applyBorder="1"/>
    <xf numFmtId="167" fontId="4" fillId="13" borderId="18" xfId="1" applyNumberFormat="1" applyFont="1" applyFill="1" applyBorder="1"/>
    <xf numFmtId="167" fontId="4" fillId="13" borderId="19" xfId="1" applyNumberFormat="1" applyFont="1" applyFill="1" applyBorder="1"/>
    <xf numFmtId="167" fontId="0" fillId="13" borderId="19" xfId="1" applyNumberFormat="1" applyFont="1" applyFill="1" applyBorder="1"/>
    <xf numFmtId="167" fontId="2" fillId="13" borderId="18" xfId="1" applyNumberFormat="1" applyFont="1" applyFill="1" applyBorder="1"/>
    <xf numFmtId="3" fontId="0" fillId="0" borderId="22" xfId="0" applyNumberFormat="1" applyBorder="1"/>
    <xf numFmtId="0" fontId="54" fillId="0" borderId="0" xfId="0" applyFont="1"/>
    <xf numFmtId="167" fontId="54" fillId="13" borderId="0" xfId="1" applyNumberFormat="1" applyFont="1" applyFill="1" applyBorder="1"/>
    <xf numFmtId="0" fontId="54" fillId="0" borderId="21" xfId="0" applyFont="1" applyBorder="1"/>
    <xf numFmtId="0" fontId="26" fillId="0" borderId="0" xfId="1" applyNumberFormat="1" applyFont="1" applyFill="1" applyAlignment="1">
      <alignment horizontal="left"/>
    </xf>
    <xf numFmtId="167" fontId="2" fillId="13" borderId="0" xfId="1" applyNumberFormat="1" applyFont="1" applyFill="1" applyBorder="1"/>
    <xf numFmtId="3" fontId="4" fillId="13" borderId="51" xfId="0" applyNumberFormat="1" applyFont="1" applyFill="1" applyBorder="1" applyAlignment="1">
      <alignment horizontal="left"/>
    </xf>
    <xf numFmtId="3" fontId="4" fillId="13" borderId="18" xfId="0" applyNumberFormat="1" applyFont="1" applyFill="1" applyBorder="1" applyAlignment="1">
      <alignment horizontal="center" wrapText="1"/>
    </xf>
    <xf numFmtId="3" fontId="4" fillId="13" borderId="0" xfId="0" applyNumberFormat="1" applyFont="1" applyFill="1" applyAlignment="1">
      <alignment horizontal="center" wrapText="1"/>
    </xf>
    <xf numFmtId="0" fontId="33" fillId="9" borderId="44" xfId="0" applyFont="1" applyFill="1" applyBorder="1" applyAlignment="1">
      <alignment horizontal="center" vertical="center" wrapText="1"/>
    </xf>
    <xf numFmtId="0" fontId="13" fillId="9" borderId="40" xfId="0" applyFont="1" applyFill="1" applyBorder="1" applyAlignment="1">
      <alignment horizontal="right"/>
    </xf>
    <xf numFmtId="3" fontId="20" fillId="15" borderId="9" xfId="0" applyNumberFormat="1" applyFont="1" applyFill="1" applyBorder="1" applyAlignment="1">
      <alignment horizontal="center"/>
    </xf>
    <xf numFmtId="0" fontId="20" fillId="15" borderId="9" xfId="0" applyFont="1" applyFill="1" applyBorder="1"/>
    <xf numFmtId="0" fontId="20" fillId="8" borderId="1" xfId="0" applyFont="1" applyFill="1" applyBorder="1"/>
    <xf numFmtId="3" fontId="20" fillId="8" borderId="1" xfId="0" applyNumberFormat="1" applyFont="1" applyFill="1" applyBorder="1" applyAlignment="1">
      <alignment horizontal="center"/>
    </xf>
    <xf numFmtId="3" fontId="20" fillId="15" borderId="1" xfId="1" applyNumberFormat="1" applyFont="1" applyFill="1" applyBorder="1" applyAlignment="1">
      <alignment horizontal="center"/>
    </xf>
    <xf numFmtId="0" fontId="57" fillId="0" borderId="0" xfId="0" applyFont="1"/>
    <xf numFmtId="3" fontId="58" fillId="13" borderId="1" xfId="0" applyNumberFormat="1" applyFont="1" applyFill="1" applyBorder="1" applyAlignment="1">
      <alignment horizontal="center" vertical="center" wrapText="1"/>
    </xf>
    <xf numFmtId="3" fontId="58" fillId="13" borderId="1" xfId="0" applyNumberFormat="1" applyFont="1" applyFill="1" applyBorder="1"/>
    <xf numFmtId="3" fontId="59" fillId="8" borderId="1" xfId="0" applyNumberFormat="1" applyFont="1" applyFill="1" applyBorder="1"/>
    <xf numFmtId="0" fontId="61" fillId="0" borderId="0" xfId="0" applyFont="1"/>
    <xf numFmtId="0" fontId="46" fillId="12" borderId="27" xfId="0" applyFont="1" applyFill="1" applyBorder="1" applyAlignment="1">
      <alignment horizontal="center"/>
    </xf>
    <xf numFmtId="4" fontId="0" fillId="0" borderId="0" xfId="0" applyNumberFormat="1"/>
    <xf numFmtId="167" fontId="0" fillId="0" borderId="0" xfId="0" applyNumberFormat="1"/>
    <xf numFmtId="0" fontId="62" fillId="0" borderId="0" xfId="0" applyFont="1"/>
    <xf numFmtId="0" fontId="28" fillId="0" borderId="1" xfId="0" applyFont="1" applyBorder="1" applyAlignment="1">
      <alignment wrapText="1"/>
    </xf>
    <xf numFmtId="167" fontId="26" fillId="8" borderId="1" xfId="1" applyNumberFormat="1" applyFont="1" applyFill="1" applyBorder="1"/>
    <xf numFmtId="164" fontId="26" fillId="8" borderId="1" xfId="1" applyNumberFormat="1" applyFont="1" applyFill="1" applyBorder="1"/>
    <xf numFmtId="0" fontId="26" fillId="0" borderId="12" xfId="0" applyFont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0" xfId="0" applyFont="1"/>
    <xf numFmtId="3" fontId="26" fillId="7" borderId="1" xfId="0" applyNumberFormat="1" applyFont="1" applyFill="1" applyBorder="1"/>
    <xf numFmtId="0" fontId="46" fillId="24" borderId="0" xfId="0" applyFont="1" applyFill="1"/>
    <xf numFmtId="0" fontId="0" fillId="24" borderId="0" xfId="0" applyFill="1" applyAlignment="1">
      <alignment horizontal="center"/>
    </xf>
    <xf numFmtId="0" fontId="0" fillId="24" borderId="0" xfId="1" applyNumberFormat="1" applyFont="1" applyFill="1" applyBorder="1" applyAlignment="1">
      <alignment horizontal="center"/>
    </xf>
    <xf numFmtId="3" fontId="0" fillId="24" borderId="0" xfId="0" applyNumberFormat="1" applyFill="1" applyAlignment="1">
      <alignment horizontal="center"/>
    </xf>
    <xf numFmtId="0" fontId="0" fillId="24" borderId="0" xfId="0" applyFill="1"/>
    <xf numFmtId="167" fontId="4" fillId="26" borderId="18" xfId="1" applyNumberFormat="1" applyFont="1" applyFill="1" applyBorder="1"/>
    <xf numFmtId="3" fontId="2" fillId="6" borderId="1" xfId="0" applyNumberFormat="1" applyFont="1" applyFill="1" applyBorder="1" applyAlignment="1">
      <alignment horizontal="right" vertical="center" wrapText="1"/>
    </xf>
    <xf numFmtId="3" fontId="10" fillId="8" borderId="1" xfId="0" applyNumberFormat="1" applyFont="1" applyFill="1" applyBorder="1"/>
    <xf numFmtId="3" fontId="4" fillId="26" borderId="18" xfId="0" applyNumberFormat="1" applyFont="1" applyFill="1" applyBorder="1" applyAlignment="1">
      <alignment horizontal="center" wrapText="1"/>
    </xf>
    <xf numFmtId="3" fontId="4" fillId="26" borderId="0" xfId="0" applyNumberFormat="1" applyFont="1" applyFill="1" applyAlignment="1">
      <alignment horizontal="center" wrapText="1"/>
    </xf>
    <xf numFmtId="0" fontId="4" fillId="26" borderId="19" xfId="0" applyFont="1" applyFill="1" applyBorder="1" applyAlignment="1">
      <alignment horizontal="center"/>
    </xf>
    <xf numFmtId="167" fontId="4" fillId="26" borderId="0" xfId="1" applyNumberFormat="1" applyFont="1" applyFill="1" applyBorder="1"/>
    <xf numFmtId="167" fontId="4" fillId="26" borderId="19" xfId="1" applyNumberFormat="1" applyFont="1" applyFill="1" applyBorder="1"/>
    <xf numFmtId="170" fontId="4" fillId="26" borderId="0" xfId="0" quotePrefix="1" applyNumberFormat="1" applyFont="1" applyFill="1" applyAlignment="1">
      <alignment horizontal="center"/>
    </xf>
    <xf numFmtId="17" fontId="4" fillId="26" borderId="19" xfId="0" quotePrefix="1" applyNumberFormat="1" applyFont="1" applyFill="1" applyBorder="1" applyAlignment="1">
      <alignment horizontal="center"/>
    </xf>
    <xf numFmtId="3" fontId="4" fillId="26" borderId="51" xfId="0" applyNumberFormat="1" applyFont="1" applyFill="1" applyBorder="1" applyAlignment="1">
      <alignment horizontal="left"/>
    </xf>
    <xf numFmtId="3" fontId="4" fillId="26" borderId="51" xfId="0" applyNumberFormat="1" applyFont="1" applyFill="1" applyBorder="1" applyAlignment="1">
      <alignment horizontal="left" wrapText="1"/>
    </xf>
    <xf numFmtId="0" fontId="64" fillId="0" borderId="0" xfId="0" applyFont="1"/>
    <xf numFmtId="3" fontId="65" fillId="25" borderId="18" xfId="0" applyNumberFormat="1" applyFont="1" applyFill="1" applyBorder="1" applyAlignment="1">
      <alignment horizontal="center" wrapText="1"/>
    </xf>
    <xf numFmtId="3" fontId="65" fillId="25" borderId="0" xfId="0" applyNumberFormat="1" applyFont="1" applyFill="1" applyAlignment="1">
      <alignment horizontal="center" wrapText="1"/>
    </xf>
    <xf numFmtId="0" fontId="65" fillId="25" borderId="19" xfId="0" applyFont="1" applyFill="1" applyBorder="1" applyAlignment="1">
      <alignment horizontal="center"/>
    </xf>
    <xf numFmtId="167" fontId="65" fillId="25" borderId="18" xfId="1" applyNumberFormat="1" applyFont="1" applyFill="1" applyBorder="1"/>
    <xf numFmtId="167" fontId="65" fillId="25" borderId="0" xfId="1" applyNumberFormat="1" applyFont="1" applyFill="1" applyBorder="1"/>
    <xf numFmtId="167" fontId="65" fillId="25" borderId="19" xfId="1" applyNumberFormat="1" applyFont="1" applyFill="1" applyBorder="1"/>
    <xf numFmtId="170" fontId="65" fillId="25" borderId="0" xfId="0" quotePrefix="1" applyNumberFormat="1" applyFont="1" applyFill="1" applyAlignment="1">
      <alignment horizontal="center"/>
    </xf>
    <xf numFmtId="17" fontId="65" fillId="25" borderId="19" xfId="0" quotePrefix="1" applyNumberFormat="1" applyFont="1" applyFill="1" applyBorder="1" applyAlignment="1">
      <alignment horizontal="center"/>
    </xf>
    <xf numFmtId="3" fontId="65" fillId="25" borderId="51" xfId="0" applyNumberFormat="1" applyFont="1" applyFill="1" applyBorder="1" applyAlignment="1">
      <alignment horizontal="left"/>
    </xf>
    <xf numFmtId="167" fontId="66" fillId="25" borderId="0" xfId="1" applyNumberFormat="1" applyFont="1" applyFill="1" applyBorder="1"/>
    <xf numFmtId="167" fontId="66" fillId="25" borderId="19" xfId="1" applyNumberFormat="1" applyFont="1" applyFill="1" applyBorder="1"/>
    <xf numFmtId="170" fontId="66" fillId="25" borderId="0" xfId="0" quotePrefix="1" applyNumberFormat="1" applyFont="1" applyFill="1" applyAlignment="1">
      <alignment horizontal="left"/>
    </xf>
    <xf numFmtId="17" fontId="66" fillId="25" borderId="19" xfId="0" quotePrefix="1" applyNumberFormat="1" applyFont="1" applyFill="1" applyBorder="1" applyAlignment="1">
      <alignment horizontal="center"/>
    </xf>
    <xf numFmtId="3" fontId="66" fillId="25" borderId="51" xfId="0" applyNumberFormat="1" applyFont="1" applyFill="1" applyBorder="1" applyAlignment="1">
      <alignment horizontal="left"/>
    </xf>
    <xf numFmtId="165" fontId="4" fillId="13" borderId="18" xfId="1" applyFont="1" applyFill="1" applyBorder="1"/>
    <xf numFmtId="165" fontId="4" fillId="13" borderId="0" xfId="1" applyFont="1" applyFill="1" applyBorder="1"/>
    <xf numFmtId="168" fontId="4" fillId="13" borderId="51" xfId="0" applyNumberFormat="1" applyFont="1" applyFill="1" applyBorder="1"/>
    <xf numFmtId="3" fontId="60" fillId="0" borderId="30" xfId="0" applyNumberFormat="1" applyFont="1" applyBorder="1"/>
    <xf numFmtId="3" fontId="1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/>
    <xf numFmtId="0" fontId="34" fillId="0" borderId="0" xfId="0" applyFont="1"/>
    <xf numFmtId="167" fontId="17" fillId="25" borderId="18" xfId="1" applyNumberFormat="1" applyFont="1" applyFill="1" applyBorder="1"/>
    <xf numFmtId="167" fontId="17" fillId="25" borderId="0" xfId="1" applyNumberFormat="1" applyFont="1" applyFill="1" applyBorder="1"/>
    <xf numFmtId="167" fontId="17" fillId="25" borderId="19" xfId="1" applyNumberFormat="1" applyFont="1" applyFill="1" applyBorder="1"/>
    <xf numFmtId="169" fontId="17" fillId="25" borderId="18" xfId="1" quotePrefix="1" applyNumberFormat="1" applyFont="1" applyFill="1" applyBorder="1" applyAlignment="1">
      <alignment horizontal="center"/>
    </xf>
    <xf numFmtId="0" fontId="72" fillId="0" borderId="0" xfId="0" applyFont="1"/>
    <xf numFmtId="167" fontId="69" fillId="17" borderId="0" xfId="1" applyNumberFormat="1" applyFont="1" applyFill="1" applyBorder="1"/>
    <xf numFmtId="167" fontId="70" fillId="17" borderId="0" xfId="1" applyNumberFormat="1" applyFont="1" applyFill="1" applyBorder="1"/>
    <xf numFmtId="167" fontId="69" fillId="7" borderId="0" xfId="1" applyNumberFormat="1" applyFont="1" applyFill="1" applyBorder="1"/>
    <xf numFmtId="167" fontId="70" fillId="7" borderId="0" xfId="1" applyNumberFormat="1" applyFont="1" applyFill="1" applyBorder="1"/>
    <xf numFmtId="167" fontId="17" fillId="17" borderId="0" xfId="1" applyNumberFormat="1" applyFont="1" applyFill="1" applyBorder="1"/>
    <xf numFmtId="167" fontId="17" fillId="7" borderId="0" xfId="1" applyNumberFormat="1" applyFont="1" applyFill="1" applyBorder="1"/>
    <xf numFmtId="168" fontId="17" fillId="25" borderId="51" xfId="0" applyNumberFormat="1" applyFont="1" applyFill="1" applyBorder="1"/>
    <xf numFmtId="167" fontId="17" fillId="7" borderId="19" xfId="1" applyNumberFormat="1" applyFont="1" applyFill="1" applyBorder="1"/>
    <xf numFmtId="3" fontId="16" fillId="21" borderId="18" xfId="0" applyNumberFormat="1" applyFont="1" applyFill="1" applyBorder="1" applyAlignment="1">
      <alignment horizontal="center" wrapText="1"/>
    </xf>
    <xf numFmtId="3" fontId="17" fillId="21" borderId="0" xfId="0" applyNumberFormat="1" applyFont="1" applyFill="1" applyAlignment="1">
      <alignment horizontal="center" wrapText="1"/>
    </xf>
    <xf numFmtId="167" fontId="17" fillId="21" borderId="18" xfId="1" applyNumberFormat="1" applyFont="1" applyFill="1" applyBorder="1"/>
    <xf numFmtId="167" fontId="17" fillId="21" borderId="0" xfId="1" applyNumberFormat="1" applyFont="1" applyFill="1" applyBorder="1"/>
    <xf numFmtId="167" fontId="69" fillId="21" borderId="0" xfId="1" applyNumberFormat="1" applyFont="1" applyFill="1" applyBorder="1"/>
    <xf numFmtId="167" fontId="17" fillId="21" borderId="19" xfId="1" applyNumberFormat="1" applyFont="1" applyFill="1" applyBorder="1"/>
    <xf numFmtId="167" fontId="70" fillId="21" borderId="0" xfId="1" applyNumberFormat="1" applyFont="1" applyFill="1" applyBorder="1"/>
    <xf numFmtId="169" fontId="17" fillId="21" borderId="18" xfId="1" quotePrefix="1" applyNumberFormat="1" applyFont="1" applyFill="1" applyBorder="1" applyAlignment="1">
      <alignment horizontal="center"/>
    </xf>
    <xf numFmtId="167" fontId="17" fillId="17" borderId="19" xfId="1" applyNumberFormat="1" applyFont="1" applyFill="1" applyBorder="1"/>
    <xf numFmtId="168" fontId="17" fillId="21" borderId="51" xfId="0" applyNumberFormat="1" applyFont="1" applyFill="1" applyBorder="1"/>
    <xf numFmtId="0" fontId="16" fillId="0" borderId="0" xfId="0" applyFont="1" applyAlignment="1">
      <alignment horizontal="center"/>
    </xf>
    <xf numFmtId="0" fontId="16" fillId="0" borderId="0" xfId="1" applyNumberFormat="1" applyFont="1" applyFill="1" applyBorder="1" applyAlignment="1">
      <alignment horizontal="center"/>
    </xf>
    <xf numFmtId="167" fontId="16" fillId="0" borderId="0" xfId="0" applyNumberFormat="1" applyFont="1"/>
    <xf numFmtId="0" fontId="73" fillId="0" borderId="0" xfId="0" applyFont="1"/>
    <xf numFmtId="0" fontId="69" fillId="0" borderId="0" xfId="0" applyFont="1"/>
    <xf numFmtId="0" fontId="74" fillId="0" borderId="0" xfId="0" applyFont="1"/>
    <xf numFmtId="167" fontId="26" fillId="13" borderId="1" xfId="1" applyNumberFormat="1" applyFont="1" applyFill="1" applyBorder="1"/>
    <xf numFmtId="0" fontId="46" fillId="0" borderId="0" xfId="0" applyFont="1"/>
    <xf numFmtId="3" fontId="16" fillId="3" borderId="18" xfId="0" applyNumberFormat="1" applyFont="1" applyFill="1" applyBorder="1" applyAlignment="1">
      <alignment horizontal="center" wrapText="1"/>
    </xf>
    <xf numFmtId="3" fontId="17" fillId="3" borderId="0" xfId="0" applyNumberFormat="1" applyFont="1" applyFill="1" applyAlignment="1">
      <alignment horizontal="center" wrapText="1"/>
    </xf>
    <xf numFmtId="0" fontId="16" fillId="3" borderId="0" xfId="0" applyFont="1" applyFill="1"/>
    <xf numFmtId="3" fontId="17" fillId="3" borderId="18" xfId="0" applyNumberFormat="1" applyFont="1" applyFill="1" applyBorder="1" applyAlignment="1">
      <alignment horizontal="center" wrapText="1"/>
    </xf>
    <xf numFmtId="0" fontId="17" fillId="3" borderId="0" xfId="0" applyFont="1" applyFill="1"/>
    <xf numFmtId="0" fontId="72" fillId="3" borderId="0" xfId="0" applyFont="1" applyFill="1"/>
    <xf numFmtId="167" fontId="17" fillId="16" borderId="0" xfId="1" applyNumberFormat="1" applyFont="1" applyFill="1" applyBorder="1"/>
    <xf numFmtId="167" fontId="69" fillId="16" borderId="0" xfId="1" applyNumberFormat="1" applyFont="1" applyFill="1" applyBorder="1"/>
    <xf numFmtId="167" fontId="36" fillId="16" borderId="0" xfId="1" applyNumberFormat="1" applyFont="1" applyFill="1" applyBorder="1"/>
    <xf numFmtId="168" fontId="17" fillId="7" borderId="51" xfId="0" applyNumberFormat="1" applyFont="1" applyFill="1" applyBorder="1"/>
    <xf numFmtId="3" fontId="17" fillId="7" borderId="0" xfId="1" applyNumberFormat="1" applyFont="1" applyFill="1" applyBorder="1"/>
    <xf numFmtId="167" fontId="36" fillId="7" borderId="0" xfId="1" applyNumberFormat="1" applyFont="1" applyFill="1" applyBorder="1"/>
    <xf numFmtId="0" fontId="75" fillId="3" borderId="0" xfId="0" applyFont="1" applyFill="1"/>
    <xf numFmtId="169" fontId="34" fillId="7" borderId="19" xfId="1" quotePrefix="1" applyNumberFormat="1" applyFont="1" applyFill="1" applyBorder="1" applyAlignment="1">
      <alignment horizontal="center"/>
    </xf>
    <xf numFmtId="3" fontId="76" fillId="21" borderId="18" xfId="0" applyNumberFormat="1" applyFont="1" applyFill="1" applyBorder="1" applyAlignment="1">
      <alignment horizontal="center" wrapText="1"/>
    </xf>
    <xf numFmtId="3" fontId="76" fillId="21" borderId="0" xfId="0" applyNumberFormat="1" applyFont="1" applyFill="1" applyAlignment="1">
      <alignment horizontal="center" wrapText="1"/>
    </xf>
    <xf numFmtId="0" fontId="76" fillId="21" borderId="19" xfId="0" applyFont="1" applyFill="1" applyBorder="1" applyAlignment="1">
      <alignment horizontal="center"/>
    </xf>
    <xf numFmtId="167" fontId="76" fillId="21" borderId="18" xfId="1" applyNumberFormat="1" applyFont="1" applyFill="1" applyBorder="1"/>
    <xf numFmtId="167" fontId="76" fillId="21" borderId="0" xfId="1" applyNumberFormat="1" applyFont="1" applyFill="1" applyBorder="1"/>
    <xf numFmtId="167" fontId="76" fillId="21" borderId="19" xfId="1" applyNumberFormat="1" applyFont="1" applyFill="1" applyBorder="1"/>
    <xf numFmtId="170" fontId="76" fillId="21" borderId="0" xfId="0" quotePrefix="1" applyNumberFormat="1" applyFont="1" applyFill="1" applyAlignment="1">
      <alignment horizontal="center"/>
    </xf>
    <xf numFmtId="17" fontId="76" fillId="21" borderId="19" xfId="0" quotePrefix="1" applyNumberFormat="1" applyFont="1" applyFill="1" applyBorder="1" applyAlignment="1">
      <alignment horizontal="center"/>
    </xf>
    <xf numFmtId="3" fontId="76" fillId="21" borderId="51" xfId="0" applyNumberFormat="1" applyFont="1" applyFill="1" applyBorder="1" applyAlignment="1">
      <alignment horizontal="left"/>
    </xf>
    <xf numFmtId="167" fontId="2" fillId="0" borderId="0" xfId="0" applyNumberFormat="1" applyFont="1"/>
    <xf numFmtId="43" fontId="2" fillId="0" borderId="0" xfId="0" applyNumberFormat="1" applyFont="1"/>
    <xf numFmtId="0" fontId="80" fillId="3" borderId="0" xfId="0" applyFont="1" applyFill="1"/>
    <xf numFmtId="0" fontId="80" fillId="0" borderId="0" xfId="0" applyFont="1"/>
    <xf numFmtId="3" fontId="17" fillId="25" borderId="18" xfId="0" applyNumberFormat="1" applyFont="1" applyFill="1" applyBorder="1" applyAlignment="1">
      <alignment horizontal="center" wrapText="1"/>
    </xf>
    <xf numFmtId="167" fontId="36" fillId="25" borderId="0" xfId="1" applyNumberFormat="1" applyFont="1" applyFill="1" applyBorder="1"/>
    <xf numFmtId="3" fontId="76" fillId="25" borderId="18" xfId="0" applyNumberFormat="1" applyFont="1" applyFill="1" applyBorder="1" applyAlignment="1">
      <alignment horizontal="center" wrapText="1"/>
    </xf>
    <xf numFmtId="3" fontId="76" fillId="25" borderId="0" xfId="0" applyNumberFormat="1" applyFont="1" applyFill="1" applyAlignment="1">
      <alignment horizontal="center" wrapText="1"/>
    </xf>
    <xf numFmtId="0" fontId="76" fillId="25" borderId="19" xfId="0" applyFont="1" applyFill="1" applyBorder="1" applyAlignment="1">
      <alignment horizontal="center"/>
    </xf>
    <xf numFmtId="167" fontId="76" fillId="25" borderId="18" xfId="1" applyNumberFormat="1" applyFont="1" applyFill="1" applyBorder="1"/>
    <xf numFmtId="167" fontId="76" fillId="25" borderId="0" xfId="1" applyNumberFormat="1" applyFont="1" applyFill="1" applyBorder="1"/>
    <xf numFmtId="167" fontId="76" fillId="25" borderId="19" xfId="1" applyNumberFormat="1" applyFont="1" applyFill="1" applyBorder="1"/>
    <xf numFmtId="170" fontId="76" fillId="25" borderId="0" xfId="0" quotePrefix="1" applyNumberFormat="1" applyFont="1" applyFill="1" applyAlignment="1">
      <alignment horizontal="center"/>
    </xf>
    <xf numFmtId="17" fontId="76" fillId="25" borderId="19" xfId="0" quotePrefix="1" applyNumberFormat="1" applyFont="1" applyFill="1" applyBorder="1" applyAlignment="1">
      <alignment horizontal="center"/>
    </xf>
    <xf numFmtId="3" fontId="52" fillId="25" borderId="51" xfId="0" applyNumberFormat="1" applyFont="1" applyFill="1" applyBorder="1" applyAlignment="1">
      <alignment horizontal="left"/>
    </xf>
    <xf numFmtId="171" fontId="46" fillId="24" borderId="0" xfId="0" applyNumberFormat="1" applyFont="1" applyFill="1"/>
    <xf numFmtId="171" fontId="40" fillId="24" borderId="0" xfId="0" applyNumberFormat="1" applyFont="1" applyFill="1" applyAlignment="1">
      <alignment vertical="center"/>
    </xf>
    <xf numFmtId="171" fontId="40" fillId="24" borderId="21" xfId="0" applyNumberFormat="1" applyFont="1" applyFill="1" applyBorder="1" applyAlignment="1">
      <alignment vertical="center"/>
    </xf>
    <xf numFmtId="171" fontId="20" fillId="0" borderId="15" xfId="0" applyNumberFormat="1" applyFont="1" applyBorder="1" applyAlignment="1">
      <alignment horizontal="center"/>
    </xf>
    <xf numFmtId="171" fontId="20" fillId="0" borderId="17" xfId="0" applyNumberFormat="1" applyFont="1" applyBorder="1" applyAlignment="1">
      <alignment horizontal="center"/>
    </xf>
    <xf numFmtId="171" fontId="20" fillId="0" borderId="20" xfId="0" applyNumberFormat="1" applyFont="1" applyBorder="1" applyAlignment="1">
      <alignment horizontal="center" vertical="center"/>
    </xf>
    <xf numFmtId="171" fontId="20" fillId="0" borderId="22" xfId="0" applyNumberFormat="1" applyFont="1" applyBorder="1" applyAlignment="1">
      <alignment horizontal="center" vertical="center"/>
    </xf>
    <xf numFmtId="171" fontId="17" fillId="25" borderId="19" xfId="0" quotePrefix="1" applyNumberFormat="1" applyFont="1" applyFill="1" applyBorder="1" applyAlignment="1">
      <alignment horizontal="center"/>
    </xf>
    <xf numFmtId="171" fontId="17" fillId="3" borderId="18" xfId="0" quotePrefix="1" applyNumberFormat="1" applyFont="1" applyFill="1" applyBorder="1" applyAlignment="1">
      <alignment horizontal="center"/>
    </xf>
    <xf numFmtId="171" fontId="17" fillId="3" borderId="19" xfId="0" quotePrefix="1" applyNumberFormat="1" applyFont="1" applyFill="1" applyBorder="1" applyAlignment="1">
      <alignment horizontal="center"/>
    </xf>
    <xf numFmtId="171" fontId="17" fillId="21" borderId="18" xfId="0" quotePrefix="1" applyNumberFormat="1" applyFont="1" applyFill="1" applyBorder="1" applyAlignment="1">
      <alignment horizontal="center"/>
    </xf>
    <xf numFmtId="171" fontId="17" fillId="21" borderId="19" xfId="0" quotePrefix="1" applyNumberFormat="1" applyFont="1" applyFill="1" applyBorder="1" applyAlignment="1">
      <alignment horizontal="center"/>
    </xf>
    <xf numFmtId="171" fontId="16" fillId="0" borderId="0" xfId="0" applyNumberFormat="1" applyFont="1"/>
    <xf numFmtId="171" fontId="0" fillId="0" borderId="0" xfId="0" applyNumberFormat="1"/>
    <xf numFmtId="167" fontId="83" fillId="12" borderId="0" xfId="0" applyNumberFormat="1" applyFont="1" applyFill="1" applyAlignment="1">
      <alignment vertical="center"/>
    </xf>
    <xf numFmtId="0" fontId="82" fillId="3" borderId="0" xfId="0" applyFont="1" applyFill="1" applyAlignment="1">
      <alignment vertical="center"/>
    </xf>
    <xf numFmtId="167" fontId="83" fillId="12" borderId="58" xfId="0" applyNumberFormat="1" applyFont="1" applyFill="1" applyBorder="1" applyAlignment="1">
      <alignment vertical="center"/>
    </xf>
    <xf numFmtId="168" fontId="83" fillId="12" borderId="22" xfId="0" applyNumberFormat="1" applyFont="1" applyFill="1" applyBorder="1" applyAlignment="1">
      <alignment vertical="center"/>
    </xf>
    <xf numFmtId="169" fontId="82" fillId="12" borderId="21" xfId="1" quotePrefix="1" applyNumberFormat="1" applyFont="1" applyFill="1" applyBorder="1" applyAlignment="1">
      <alignment vertical="center"/>
    </xf>
    <xf numFmtId="169" fontId="82" fillId="12" borderId="59" xfId="1" applyNumberFormat="1" applyFont="1" applyFill="1" applyBorder="1" applyAlignment="1">
      <alignment vertical="center"/>
    </xf>
    <xf numFmtId="167" fontId="85" fillId="12" borderId="0" xfId="0" applyNumberFormat="1" applyFont="1" applyFill="1" applyAlignment="1">
      <alignment vertical="center"/>
    </xf>
    <xf numFmtId="169" fontId="17" fillId="7" borderId="0" xfId="1" quotePrefix="1" applyNumberFormat="1" applyFont="1" applyFill="1" applyBorder="1" applyAlignment="1">
      <alignment horizontal="center"/>
    </xf>
    <xf numFmtId="0" fontId="88" fillId="0" borderId="0" xfId="0" applyFont="1" applyAlignment="1">
      <alignment horizontal="center"/>
    </xf>
    <xf numFmtId="167" fontId="36" fillId="7" borderId="19" xfId="1" applyNumberFormat="1" applyFont="1" applyFill="1" applyBorder="1"/>
    <xf numFmtId="0" fontId="88" fillId="0" borderId="18" xfId="0" applyFont="1" applyBorder="1" applyAlignment="1">
      <alignment horizontal="center"/>
    </xf>
    <xf numFmtId="0" fontId="89" fillId="0" borderId="0" xfId="0" applyFont="1"/>
    <xf numFmtId="14" fontId="88" fillId="0" borderId="19" xfId="0" applyNumberFormat="1" applyFont="1" applyBorder="1" applyAlignment="1">
      <alignment horizontal="center"/>
    </xf>
    <xf numFmtId="0" fontId="56" fillId="0" borderId="0" xfId="0" applyFont="1"/>
    <xf numFmtId="3" fontId="76" fillId="25" borderId="51" xfId="0" applyNumberFormat="1" applyFont="1" applyFill="1" applyBorder="1" applyAlignment="1">
      <alignment horizontal="left"/>
    </xf>
    <xf numFmtId="3" fontId="20" fillId="20" borderId="26" xfId="0" applyNumberFormat="1" applyFont="1" applyFill="1" applyBorder="1" applyAlignment="1">
      <alignment horizontal="center" wrapText="1"/>
    </xf>
    <xf numFmtId="3" fontId="84" fillId="20" borderId="27" xfId="0" applyNumberFormat="1" applyFont="1" applyFill="1" applyBorder="1" applyAlignment="1">
      <alignment horizontal="center" wrapText="1"/>
    </xf>
    <xf numFmtId="171" fontId="20" fillId="20" borderId="26" xfId="0" quotePrefix="1" applyNumberFormat="1" applyFont="1" applyFill="1" applyBorder="1" applyAlignment="1">
      <alignment horizontal="center"/>
    </xf>
    <xf numFmtId="171" fontId="20" fillId="20" borderId="48" xfId="0" quotePrefix="1" applyNumberFormat="1" applyFont="1" applyFill="1" applyBorder="1" applyAlignment="1">
      <alignment horizontal="center"/>
    </xf>
    <xf numFmtId="167" fontId="84" fillId="20" borderId="27" xfId="1" applyNumberFormat="1" applyFont="1" applyFill="1" applyBorder="1"/>
    <xf numFmtId="167" fontId="67" fillId="20" borderId="27" xfId="1" applyNumberFormat="1" applyFont="1" applyFill="1" applyBorder="1"/>
    <xf numFmtId="169" fontId="20" fillId="20" borderId="27" xfId="1" quotePrefix="1" applyNumberFormat="1" applyFont="1" applyFill="1" applyBorder="1" applyAlignment="1">
      <alignment horizontal="center"/>
    </xf>
    <xf numFmtId="169" fontId="27" fillId="20" borderId="48" xfId="1" quotePrefix="1" applyNumberFormat="1" applyFont="1" applyFill="1" applyBorder="1" applyAlignment="1">
      <alignment horizontal="center"/>
    </xf>
    <xf numFmtId="3" fontId="20" fillId="20" borderId="60" xfId="0" applyNumberFormat="1" applyFont="1" applyFill="1" applyBorder="1" applyAlignment="1">
      <alignment horizontal="left"/>
    </xf>
    <xf numFmtId="0" fontId="90" fillId="3" borderId="0" xfId="0" applyFont="1" applyFill="1"/>
    <xf numFmtId="168" fontId="94" fillId="7" borderId="51" xfId="0" applyNumberFormat="1" applyFont="1" applyFill="1" applyBorder="1"/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71" fontId="89" fillId="3" borderId="18" xfId="0" quotePrefix="1" applyNumberFormat="1" applyFont="1" applyFill="1" applyBorder="1" applyAlignment="1">
      <alignment horizontal="center"/>
    </xf>
    <xf numFmtId="171" fontId="89" fillId="3" borderId="19" xfId="0" quotePrefix="1" applyNumberFormat="1" applyFont="1" applyFill="1" applyBorder="1" applyAlignment="1">
      <alignment horizontal="center"/>
    </xf>
    <xf numFmtId="167" fontId="89" fillId="16" borderId="0" xfId="1" applyNumberFormat="1" applyFont="1" applyFill="1" applyBorder="1"/>
    <xf numFmtId="167" fontId="95" fillId="16" borderId="0" xfId="1" applyNumberFormat="1" applyFont="1" applyFill="1" applyBorder="1"/>
    <xf numFmtId="167" fontId="89" fillId="7" borderId="0" xfId="1" applyNumberFormat="1" applyFont="1" applyFill="1" applyBorder="1"/>
    <xf numFmtId="167" fontId="89" fillId="7" borderId="19" xfId="1" applyNumberFormat="1" applyFont="1" applyFill="1" applyBorder="1"/>
    <xf numFmtId="167" fontId="95" fillId="7" borderId="0" xfId="1" applyNumberFormat="1" applyFont="1" applyFill="1" applyBorder="1"/>
    <xf numFmtId="169" fontId="89" fillId="7" borderId="0" xfId="1" quotePrefix="1" applyNumberFormat="1" applyFont="1" applyFill="1" applyBorder="1" applyAlignment="1">
      <alignment horizontal="center"/>
    </xf>
    <xf numFmtId="168" fontId="89" fillId="7" borderId="51" xfId="0" applyNumberFormat="1" applyFont="1" applyFill="1" applyBorder="1"/>
    <xf numFmtId="3" fontId="89" fillId="7" borderId="0" xfId="1" applyNumberFormat="1" applyFont="1" applyFill="1" applyBorder="1"/>
    <xf numFmtId="171" fontId="17" fillId="3" borderId="0" xfId="0" quotePrefix="1" applyNumberFormat="1" applyFont="1" applyFill="1" applyAlignment="1">
      <alignment horizontal="center"/>
    </xf>
    <xf numFmtId="167" fontId="84" fillId="20" borderId="26" xfId="1" applyNumberFormat="1" applyFont="1" applyFill="1" applyBorder="1"/>
    <xf numFmtId="167" fontId="95" fillId="7" borderId="61" xfId="1" applyNumberFormat="1" applyFont="1" applyFill="1" applyBorder="1"/>
    <xf numFmtId="167" fontId="70" fillId="7" borderId="19" xfId="1" applyNumberFormat="1" applyFont="1" applyFill="1" applyBorder="1"/>
    <xf numFmtId="0" fontId="49" fillId="0" borderId="0" xfId="0" applyFont="1"/>
    <xf numFmtId="3" fontId="96" fillId="13" borderId="23" xfId="0" applyNumberFormat="1" applyFont="1" applyFill="1" applyBorder="1" applyAlignment="1">
      <alignment vertical="center"/>
    </xf>
    <xf numFmtId="3" fontId="96" fillId="13" borderId="1" xfId="0" applyNumberFormat="1" applyFont="1" applyFill="1" applyBorder="1" applyAlignment="1">
      <alignment vertical="center"/>
    </xf>
    <xf numFmtId="3" fontId="96" fillId="6" borderId="23" xfId="0" applyNumberFormat="1" applyFont="1" applyFill="1" applyBorder="1" applyAlignment="1">
      <alignment vertical="center"/>
    </xf>
    <xf numFmtId="3" fontId="96" fillId="6" borderId="1" xfId="0" applyNumberFormat="1" applyFont="1" applyFill="1" applyBorder="1" applyAlignment="1">
      <alignment horizontal="center" vertical="center"/>
    </xf>
    <xf numFmtId="3" fontId="96" fillId="6" borderId="1" xfId="0" applyNumberFormat="1" applyFont="1" applyFill="1" applyBorder="1" applyAlignment="1">
      <alignment vertical="center"/>
    </xf>
    <xf numFmtId="3" fontId="98" fillId="13" borderId="1" xfId="0" applyNumberFormat="1" applyFont="1" applyFill="1" applyBorder="1" applyAlignment="1">
      <alignment vertical="center" wrapText="1"/>
    </xf>
    <xf numFmtId="3" fontId="99" fillId="0" borderId="0" xfId="0" applyNumberFormat="1" applyFont="1"/>
    <xf numFmtId="0" fontId="99" fillId="0" borderId="0" xfId="0" applyFont="1"/>
    <xf numFmtId="3" fontId="98" fillId="6" borderId="9" xfId="0" applyNumberFormat="1" applyFont="1" applyFill="1" applyBorder="1" applyAlignment="1">
      <alignment vertical="center"/>
    </xf>
    <xf numFmtId="3" fontId="98" fillId="6" borderId="1" xfId="0" applyNumberFormat="1" applyFont="1" applyFill="1" applyBorder="1" applyAlignment="1">
      <alignment vertical="center"/>
    </xf>
    <xf numFmtId="0" fontId="100" fillId="0" borderId="0" xfId="0" applyFont="1"/>
    <xf numFmtId="3" fontId="98" fillId="0" borderId="31" xfId="0" applyNumberFormat="1" applyFont="1" applyBorder="1"/>
    <xf numFmtId="3" fontId="98" fillId="5" borderId="31" xfId="0" applyNumberFormat="1" applyFont="1" applyFill="1" applyBorder="1" applyAlignment="1">
      <alignment vertical="center"/>
    </xf>
    <xf numFmtId="171" fontId="20" fillId="20" borderId="27" xfId="0" quotePrefix="1" applyNumberFormat="1" applyFont="1" applyFill="1" applyBorder="1" applyAlignment="1">
      <alignment horizontal="center"/>
    </xf>
    <xf numFmtId="167" fontId="89" fillId="17" borderId="61" xfId="1" applyNumberFormat="1" applyFont="1" applyFill="1" applyBorder="1"/>
    <xf numFmtId="167" fontId="36" fillId="17" borderId="0" xfId="1" applyNumberFormat="1" applyFont="1" applyFill="1" applyBorder="1"/>
    <xf numFmtId="0" fontId="20" fillId="7" borderId="54" xfId="0" applyFont="1" applyFill="1" applyBorder="1" applyAlignment="1">
      <alignment horizontal="center"/>
    </xf>
    <xf numFmtId="167" fontId="51" fillId="18" borderId="3" xfId="1" applyNumberFormat="1" applyFont="1" applyFill="1" applyBorder="1"/>
    <xf numFmtId="167" fontId="21" fillId="7" borderId="3" xfId="1" applyNumberFormat="1" applyFont="1" applyFill="1" applyBorder="1"/>
    <xf numFmtId="167" fontId="20" fillId="7" borderId="3" xfId="1" applyNumberFormat="1" applyFont="1" applyFill="1" applyBorder="1" applyAlignment="1">
      <alignment vertical="center"/>
    </xf>
    <xf numFmtId="167" fontId="18" fillId="7" borderId="3" xfId="1" applyNumberFormat="1" applyFont="1" applyFill="1" applyBorder="1" applyAlignment="1">
      <alignment vertical="center"/>
    </xf>
    <xf numFmtId="167" fontId="18" fillId="7" borderId="14" xfId="1" applyNumberFormat="1" applyFont="1" applyFill="1" applyBorder="1" applyAlignment="1">
      <alignment vertical="center"/>
    </xf>
    <xf numFmtId="167" fontId="18" fillId="7" borderId="3" xfId="1" applyNumberFormat="1" applyFont="1" applyFill="1" applyBorder="1"/>
    <xf numFmtId="167" fontId="21" fillId="11" borderId="3" xfId="1" applyNumberFormat="1" applyFont="1" applyFill="1" applyBorder="1"/>
    <xf numFmtId="167" fontId="25" fillId="7" borderId="3" xfId="1" applyNumberFormat="1" applyFont="1" applyFill="1" applyBorder="1" applyAlignment="1">
      <alignment horizontal="left" vertical="center"/>
    </xf>
    <xf numFmtId="164" fontId="51" fillId="18" borderId="5" xfId="0" applyNumberFormat="1" applyFont="1" applyFill="1" applyBorder="1"/>
    <xf numFmtId="164" fontId="21" fillId="7" borderId="5" xfId="0" applyNumberFormat="1" applyFont="1" applyFill="1" applyBorder="1"/>
    <xf numFmtId="164" fontId="18" fillId="7" borderId="5" xfId="0" applyNumberFormat="1" applyFont="1" applyFill="1" applyBorder="1"/>
    <xf numFmtId="164" fontId="21" fillId="11" borderId="5" xfId="0" applyNumberFormat="1" applyFont="1" applyFill="1" applyBorder="1"/>
    <xf numFmtId="164" fontId="25" fillId="7" borderId="5" xfId="0" applyNumberFormat="1" applyFont="1" applyFill="1" applyBorder="1" applyAlignment="1">
      <alignment horizontal="left" vertical="center"/>
    </xf>
    <xf numFmtId="164" fontId="28" fillId="7" borderId="5" xfId="0" applyNumberFormat="1" applyFont="1" applyFill="1" applyBorder="1"/>
    <xf numFmtId="0" fontId="26" fillId="7" borderId="5" xfId="0" applyFont="1" applyFill="1" applyBorder="1"/>
    <xf numFmtId="167" fontId="11" fillId="7" borderId="64" xfId="1" applyNumberFormat="1" applyFont="1" applyFill="1" applyBorder="1" applyAlignment="1">
      <alignment vertical="center"/>
    </xf>
    <xf numFmtId="0" fontId="12" fillId="0" borderId="51" xfId="0" applyFont="1" applyBorder="1"/>
    <xf numFmtId="0" fontId="11" fillId="7" borderId="62" xfId="0" applyFont="1" applyFill="1" applyBorder="1" applyAlignment="1">
      <alignment horizontal="center"/>
    </xf>
    <xf numFmtId="167" fontId="101" fillId="18" borderId="63" xfId="1" applyNumberFormat="1" applyFont="1" applyFill="1" applyBorder="1"/>
    <xf numFmtId="167" fontId="102" fillId="7" borderId="64" xfId="1" applyNumberFormat="1" applyFont="1" applyFill="1" applyBorder="1"/>
    <xf numFmtId="167" fontId="12" fillId="7" borderId="64" xfId="1" applyNumberFormat="1" applyFont="1" applyFill="1" applyBorder="1"/>
    <xf numFmtId="167" fontId="102" fillId="11" borderId="63" xfId="1" applyNumberFormat="1" applyFont="1" applyFill="1" applyBorder="1"/>
    <xf numFmtId="167" fontId="103" fillId="7" borderId="63" xfId="1" applyNumberFormat="1" applyFont="1" applyFill="1" applyBorder="1" applyAlignment="1">
      <alignment horizontal="left" vertical="center"/>
    </xf>
    <xf numFmtId="167" fontId="104" fillId="7" borderId="63" xfId="1" applyNumberFormat="1" applyFont="1" applyFill="1" applyBorder="1"/>
    <xf numFmtId="167" fontId="105" fillId="7" borderId="63" xfId="0" applyNumberFormat="1" applyFont="1" applyFill="1" applyBorder="1"/>
    <xf numFmtId="164" fontId="87" fillId="7" borderId="5" xfId="0" applyNumberFormat="1" applyFont="1" applyFill="1" applyBorder="1" applyAlignment="1">
      <alignment vertical="center"/>
    </xf>
    <xf numFmtId="164" fontId="106" fillId="7" borderId="5" xfId="0" applyNumberFormat="1" applyFont="1" applyFill="1" applyBorder="1" applyAlignment="1">
      <alignment vertical="center"/>
    </xf>
    <xf numFmtId="164" fontId="106" fillId="7" borderId="56" xfId="0" applyNumberFormat="1" applyFont="1" applyFill="1" applyBorder="1" applyAlignment="1">
      <alignment vertical="center"/>
    </xf>
    <xf numFmtId="164" fontId="106" fillId="8" borderId="1" xfId="1" applyNumberFormat="1" applyFont="1" applyFill="1" applyBorder="1" applyAlignment="1">
      <alignment vertical="center"/>
    </xf>
    <xf numFmtId="164" fontId="106" fillId="8" borderId="9" xfId="1" applyNumberFormat="1" applyFont="1" applyFill="1" applyBorder="1" applyAlignment="1">
      <alignment vertical="center"/>
    </xf>
    <xf numFmtId="164" fontId="106" fillId="13" borderId="14" xfId="0" applyNumberFormat="1" applyFont="1" applyFill="1" applyBorder="1" applyAlignment="1">
      <alignment vertical="center"/>
    </xf>
    <xf numFmtId="0" fontId="12" fillId="0" borderId="21" xfId="0" applyFont="1" applyBorder="1"/>
    <xf numFmtId="0" fontId="16" fillId="0" borderId="21" xfId="0" applyFont="1" applyBorder="1"/>
    <xf numFmtId="0" fontId="12" fillId="0" borderId="0" xfId="0" applyFont="1"/>
    <xf numFmtId="0" fontId="79" fillId="0" borderId="0" xfId="0" applyFont="1"/>
    <xf numFmtId="0" fontId="12" fillId="0" borderId="19" xfId="0" applyFont="1" applyBorder="1"/>
    <xf numFmtId="3" fontId="16" fillId="3" borderId="0" xfId="0" applyNumberFormat="1" applyFont="1" applyFill="1" applyAlignment="1">
      <alignment horizontal="center" wrapText="1"/>
    </xf>
    <xf numFmtId="0" fontId="17" fillId="2" borderId="0" xfId="0" applyFont="1" applyFill="1"/>
    <xf numFmtId="0" fontId="20" fillId="0" borderId="0" xfId="0" applyFont="1" applyAlignment="1">
      <alignment wrapText="1"/>
    </xf>
    <xf numFmtId="3" fontId="45" fillId="0" borderId="0" xfId="0" applyNumberFormat="1" applyFont="1" applyAlignment="1">
      <alignment vertical="center"/>
    </xf>
    <xf numFmtId="171" fontId="17" fillId="25" borderId="0" xfId="0" quotePrefix="1" applyNumberFormat="1" applyFont="1" applyFill="1" applyAlignment="1">
      <alignment horizontal="center"/>
    </xf>
    <xf numFmtId="3" fontId="108" fillId="0" borderId="0" xfId="0" applyNumberFormat="1" applyFont="1"/>
    <xf numFmtId="167" fontId="70" fillId="7" borderId="53" xfId="1" applyNumberFormat="1" applyFont="1" applyFill="1" applyBorder="1"/>
    <xf numFmtId="3" fontId="20" fillId="20" borderId="4" xfId="0" applyNumberFormat="1" applyFont="1" applyFill="1" applyBorder="1" applyAlignment="1">
      <alignment horizontal="center" wrapText="1"/>
    </xf>
    <xf numFmtId="3" fontId="90" fillId="7" borderId="0" xfId="0" applyNumberFormat="1" applyFont="1" applyFill="1" applyAlignment="1">
      <alignment horizontal="left"/>
    </xf>
    <xf numFmtId="14" fontId="31" fillId="28" borderId="41" xfId="0" applyNumberFormat="1" applyFont="1" applyFill="1" applyBorder="1" applyAlignment="1">
      <alignment horizontal="left"/>
    </xf>
    <xf numFmtId="0" fontId="13" fillId="29" borderId="41" xfId="0" applyFont="1" applyFill="1" applyBorder="1"/>
    <xf numFmtId="167" fontId="13" fillId="29" borderId="41" xfId="1" applyNumberFormat="1" applyFont="1" applyFill="1" applyBorder="1"/>
    <xf numFmtId="0" fontId="31" fillId="28" borderId="42" xfId="0" applyFont="1" applyFill="1" applyBorder="1"/>
    <xf numFmtId="0" fontId="13" fillId="29" borderId="41" xfId="0" applyFont="1" applyFill="1" applyBorder="1" applyAlignment="1">
      <alignment horizontal="left"/>
    </xf>
    <xf numFmtId="14" fontId="13" fillId="29" borderId="41" xfId="0" applyNumberFormat="1" applyFont="1" applyFill="1" applyBorder="1" applyAlignment="1">
      <alignment horizontal="left"/>
    </xf>
    <xf numFmtId="0" fontId="13" fillId="31" borderId="41" xfId="0" applyFont="1" applyFill="1" applyBorder="1"/>
    <xf numFmtId="0" fontId="31" fillId="30" borderId="42" xfId="0" applyFont="1" applyFill="1" applyBorder="1"/>
    <xf numFmtId="14" fontId="13" fillId="31" borderId="41" xfId="0" applyNumberFormat="1" applyFont="1" applyFill="1" applyBorder="1" applyAlignment="1">
      <alignment horizontal="left"/>
    </xf>
    <xf numFmtId="0" fontId="31" fillId="32" borderId="41" xfId="0" applyFont="1" applyFill="1" applyBorder="1" applyAlignment="1">
      <alignment horizontal="left"/>
    </xf>
    <xf numFmtId="14" fontId="31" fillId="32" borderId="41" xfId="0" applyNumberFormat="1" applyFont="1" applyFill="1" applyBorder="1" applyAlignment="1">
      <alignment horizontal="left"/>
    </xf>
    <xf numFmtId="0" fontId="13" fillId="33" borderId="41" xfId="0" applyFont="1" applyFill="1" applyBorder="1"/>
    <xf numFmtId="167" fontId="13" fillId="33" borderId="41" xfId="1" applyNumberFormat="1" applyFont="1" applyFill="1" applyBorder="1"/>
    <xf numFmtId="0" fontId="31" fillId="32" borderId="42" xfId="0" applyFont="1" applyFill="1" applyBorder="1"/>
    <xf numFmtId="0" fontId="13" fillId="33" borderId="41" xfId="0" applyFont="1" applyFill="1" applyBorder="1" applyAlignment="1">
      <alignment horizontal="left"/>
    </xf>
    <xf numFmtId="14" fontId="13" fillId="33" borderId="41" xfId="0" applyNumberFormat="1" applyFont="1" applyFill="1" applyBorder="1" applyAlignment="1">
      <alignment horizontal="left"/>
    </xf>
    <xf numFmtId="0" fontId="13" fillId="33" borderId="40" xfId="0" applyFont="1" applyFill="1" applyBorder="1"/>
    <xf numFmtId="0" fontId="13" fillId="29" borderId="40" xfId="0" applyFont="1" applyFill="1" applyBorder="1"/>
    <xf numFmtId="0" fontId="13" fillId="34" borderId="40" xfId="0" applyFont="1" applyFill="1" applyBorder="1" applyAlignment="1">
      <alignment horizontal="right"/>
    </xf>
    <xf numFmtId="0" fontId="31" fillId="35" borderId="41" xfId="0" applyFont="1" applyFill="1" applyBorder="1" applyAlignment="1">
      <alignment horizontal="left" vertical="center"/>
    </xf>
    <xf numFmtId="167" fontId="31" fillId="35" borderId="41" xfId="1" applyNumberFormat="1" applyFont="1" applyFill="1" applyBorder="1" applyAlignment="1">
      <alignment horizontal="left" vertical="center"/>
    </xf>
    <xf numFmtId="0" fontId="31" fillId="35" borderId="42" xfId="0" applyFont="1" applyFill="1" applyBorder="1" applyAlignment="1">
      <alignment horizontal="left" vertical="center"/>
    </xf>
    <xf numFmtId="0" fontId="32" fillId="29" borderId="40" xfId="0" applyFont="1" applyFill="1" applyBorder="1" applyAlignment="1">
      <alignment horizontal="left" vertical="center"/>
    </xf>
    <xf numFmtId="0" fontId="0" fillId="13" borderId="0" xfId="0" applyFill="1"/>
    <xf numFmtId="0" fontId="0" fillId="13" borderId="0" xfId="0" applyFill="1" applyAlignment="1">
      <alignment horizontal="left"/>
    </xf>
    <xf numFmtId="167" fontId="0" fillId="13" borderId="0" xfId="1" applyNumberFormat="1" applyFont="1" applyFill="1"/>
    <xf numFmtId="0" fontId="13" fillId="29" borderId="41" xfId="0" applyFont="1" applyFill="1" applyBorder="1" applyAlignment="1">
      <alignment horizontal="right"/>
    </xf>
    <xf numFmtId="167" fontId="13" fillId="29" borderId="41" xfId="1" applyNumberFormat="1" applyFont="1" applyFill="1" applyBorder="1" applyAlignment="1">
      <alignment horizontal="right"/>
    </xf>
    <xf numFmtId="167" fontId="13" fillId="28" borderId="41" xfId="1" applyNumberFormat="1" applyFont="1" applyFill="1" applyBorder="1"/>
    <xf numFmtId="1" fontId="13" fillId="9" borderId="40" xfId="0" quotePrefix="1" applyNumberFormat="1" applyFont="1" applyFill="1" applyBorder="1"/>
    <xf numFmtId="1" fontId="13" fillId="33" borderId="40" xfId="0" applyNumberFormat="1" applyFont="1" applyFill="1" applyBorder="1"/>
    <xf numFmtId="1" fontId="13" fillId="29" borderId="40" xfId="0" applyNumberFormat="1" applyFont="1" applyFill="1" applyBorder="1"/>
    <xf numFmtId="0" fontId="31" fillId="9" borderId="40" xfId="0" applyFont="1" applyFill="1" applyBorder="1" applyAlignment="1">
      <alignment horizontal="left"/>
    </xf>
    <xf numFmtId="0" fontId="13" fillId="10" borderId="40" xfId="0" applyFont="1" applyFill="1" applyBorder="1" applyAlignment="1">
      <alignment horizontal="left"/>
    </xf>
    <xf numFmtId="0" fontId="13" fillId="32" borderId="41" xfId="0" applyFont="1" applyFill="1" applyBorder="1"/>
    <xf numFmtId="0" fontId="13" fillId="28" borderId="41" xfId="0" applyFont="1" applyFill="1" applyBorder="1"/>
    <xf numFmtId="0" fontId="13" fillId="29" borderId="40" xfId="0" applyFont="1" applyFill="1" applyBorder="1" applyAlignment="1">
      <alignment horizontal="left" vertical="top"/>
    </xf>
    <xf numFmtId="0" fontId="13" fillId="10" borderId="40" xfId="0" applyFont="1" applyFill="1" applyBorder="1" applyAlignment="1">
      <alignment horizontal="left" vertical="top"/>
    </xf>
    <xf numFmtId="0" fontId="13" fillId="9" borderId="40" xfId="0" applyFont="1" applyFill="1" applyBorder="1" applyAlignment="1">
      <alignment horizontal="left"/>
    </xf>
    <xf numFmtId="0" fontId="13" fillId="29" borderId="42" xfId="0" applyFont="1" applyFill="1" applyBorder="1"/>
    <xf numFmtId="0" fontId="31" fillId="28" borderId="41" xfId="0" applyFont="1" applyFill="1" applyBorder="1"/>
    <xf numFmtId="167" fontId="31" fillId="28" borderId="41" xfId="1" applyNumberFormat="1" applyFont="1" applyFill="1" applyBorder="1"/>
    <xf numFmtId="0" fontId="13" fillId="28" borderId="41" xfId="0" applyFont="1" applyFill="1" applyBorder="1" applyAlignment="1">
      <alignment horizontal="left"/>
    </xf>
    <xf numFmtId="14" fontId="13" fillId="28" borderId="41" xfId="0" applyNumberFormat="1" applyFont="1" applyFill="1" applyBorder="1" applyAlignment="1">
      <alignment horizontal="left"/>
    </xf>
    <xf numFmtId="0" fontId="13" fillId="28" borderId="42" xfId="0" applyFont="1" applyFill="1" applyBorder="1"/>
    <xf numFmtId="0" fontId="13" fillId="28" borderId="40" xfId="0" applyFont="1" applyFill="1" applyBorder="1" applyAlignment="1">
      <alignment horizontal="left"/>
    </xf>
    <xf numFmtId="0" fontId="13" fillId="29" borderId="40" xfId="0" applyFont="1" applyFill="1" applyBorder="1" applyAlignment="1">
      <alignment horizontal="left"/>
    </xf>
    <xf numFmtId="0" fontId="31" fillId="28" borderId="40" xfId="0" applyFont="1" applyFill="1" applyBorder="1" applyAlignment="1">
      <alignment horizontal="left"/>
    </xf>
    <xf numFmtId="0" fontId="13" fillId="32" borderId="41" xfId="0" applyFont="1" applyFill="1" applyBorder="1" applyAlignment="1">
      <alignment horizontal="left"/>
    </xf>
    <xf numFmtId="14" fontId="13" fillId="32" borderId="41" xfId="0" applyNumberFormat="1" applyFont="1" applyFill="1" applyBorder="1" applyAlignment="1">
      <alignment horizontal="left"/>
    </xf>
    <xf numFmtId="167" fontId="13" fillId="32" borderId="41" xfId="1" applyNumberFormat="1" applyFont="1" applyFill="1" applyBorder="1"/>
    <xf numFmtId="0" fontId="13" fillId="32" borderId="42" xfId="0" applyFont="1" applyFill="1" applyBorder="1"/>
    <xf numFmtId="0" fontId="13" fillId="33" borderId="42" xfId="0" applyFont="1" applyFill="1" applyBorder="1"/>
    <xf numFmtId="0" fontId="31" fillId="32" borderId="41" xfId="0" applyFont="1" applyFill="1" applyBorder="1"/>
    <xf numFmtId="167" fontId="31" fillId="32" borderId="41" xfId="1" applyNumberFormat="1" applyFont="1" applyFill="1" applyBorder="1"/>
    <xf numFmtId="0" fontId="35" fillId="30" borderId="40" xfId="0" applyFont="1" applyFill="1" applyBorder="1" applyAlignment="1">
      <alignment vertical="center"/>
    </xf>
    <xf numFmtId="0" fontId="13" fillId="30" borderId="41" xfId="0" applyFont="1" applyFill="1" applyBorder="1"/>
    <xf numFmtId="0" fontId="13" fillId="30" borderId="41" xfId="0" applyFont="1" applyFill="1" applyBorder="1" applyAlignment="1">
      <alignment horizontal="left"/>
    </xf>
    <xf numFmtId="14" fontId="13" fillId="30" borderId="41" xfId="0" applyNumberFormat="1" applyFont="1" applyFill="1" applyBorder="1" applyAlignment="1">
      <alignment horizontal="left"/>
    </xf>
    <xf numFmtId="167" fontId="13" fillId="30" borderId="41" xfId="1" applyNumberFormat="1" applyFont="1" applyFill="1" applyBorder="1"/>
    <xf numFmtId="0" fontId="13" fillId="30" borderId="42" xfId="0" applyFont="1" applyFill="1" applyBorder="1"/>
    <xf numFmtId="0" fontId="13" fillId="31" borderId="41" xfId="0" applyFont="1" applyFill="1" applyBorder="1" applyAlignment="1">
      <alignment horizontal="left"/>
    </xf>
    <xf numFmtId="0" fontId="13" fillId="31" borderId="41" xfId="0" applyFont="1" applyFill="1" applyBorder="1" applyAlignment="1">
      <alignment horizontal="right"/>
    </xf>
    <xf numFmtId="167" fontId="13" fillId="31" borderId="41" xfId="1" applyNumberFormat="1" applyFont="1" applyFill="1" applyBorder="1" applyAlignment="1">
      <alignment horizontal="right"/>
    </xf>
    <xf numFmtId="0" fontId="13" fillId="31" borderId="42" xfId="0" applyFont="1" applyFill="1" applyBorder="1"/>
    <xf numFmtId="0" fontId="35" fillId="30" borderId="41" xfId="0" applyFont="1" applyFill="1" applyBorder="1" applyAlignment="1">
      <alignment vertical="center"/>
    </xf>
    <xf numFmtId="0" fontId="91" fillId="30" borderId="41" xfId="0" applyFont="1" applyFill="1" applyBorder="1" applyAlignment="1">
      <alignment horizontal="left" vertical="center"/>
    </xf>
    <xf numFmtId="0" fontId="91" fillId="30" borderId="41" xfId="0" applyFont="1" applyFill="1" applyBorder="1" applyAlignment="1">
      <alignment horizontal="right" vertical="center"/>
    </xf>
    <xf numFmtId="167" fontId="91" fillId="30" borderId="41" xfId="1" applyNumberFormat="1" applyFont="1" applyFill="1" applyBorder="1" applyAlignment="1">
      <alignment horizontal="right" vertical="center"/>
    </xf>
    <xf numFmtId="167" fontId="92" fillId="30" borderId="42" xfId="1" applyNumberFormat="1" applyFont="1" applyFill="1" applyBorder="1" applyAlignment="1">
      <alignment vertical="center"/>
    </xf>
    <xf numFmtId="0" fontId="92" fillId="30" borderId="42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right"/>
    </xf>
    <xf numFmtId="167" fontId="13" fillId="30" borderId="41" xfId="1" applyNumberFormat="1" applyFont="1" applyFill="1" applyBorder="1" applyAlignment="1">
      <alignment horizontal="right"/>
    </xf>
    <xf numFmtId="0" fontId="13" fillId="30" borderId="41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left" vertical="center"/>
    </xf>
    <xf numFmtId="0" fontId="13" fillId="30" borderId="41" xfId="0" applyFont="1" applyFill="1" applyBorder="1" applyAlignment="1">
      <alignment horizontal="right" vertical="center"/>
    </xf>
    <xf numFmtId="167" fontId="13" fillId="30" borderId="41" xfId="1" applyNumberFormat="1" applyFont="1" applyFill="1" applyBorder="1" applyAlignment="1">
      <alignment horizontal="right" vertical="center"/>
    </xf>
    <xf numFmtId="167" fontId="31" fillId="30" borderId="42" xfId="1" applyNumberFormat="1" applyFont="1" applyFill="1" applyBorder="1" applyAlignment="1">
      <alignment vertical="center"/>
    </xf>
    <xf numFmtId="0" fontId="31" fillId="30" borderId="41" xfId="0" applyFont="1" applyFill="1" applyBorder="1"/>
    <xf numFmtId="0" fontId="31" fillId="13" borderId="0" xfId="0" applyFont="1" applyFill="1"/>
    <xf numFmtId="0" fontId="13" fillId="30" borderId="40" xfId="0" applyFont="1" applyFill="1" applyBorder="1" applyAlignment="1">
      <alignment horizontal="left" vertical="center"/>
    </xf>
    <xf numFmtId="0" fontId="13" fillId="31" borderId="40" xfId="0" applyFont="1" applyFill="1" applyBorder="1" applyAlignment="1">
      <alignment horizontal="left"/>
    </xf>
    <xf numFmtId="0" fontId="13" fillId="30" borderId="40" xfId="0" applyFont="1" applyFill="1" applyBorder="1" applyAlignment="1">
      <alignment horizontal="left"/>
    </xf>
    <xf numFmtId="167" fontId="84" fillId="20" borderId="48" xfId="1" applyNumberFormat="1" applyFont="1" applyFill="1" applyBorder="1"/>
    <xf numFmtId="3" fontId="16" fillId="3" borderId="19" xfId="0" applyNumberFormat="1" applyFont="1" applyFill="1" applyBorder="1" applyAlignment="1">
      <alignment horizontal="center" wrapText="1"/>
    </xf>
    <xf numFmtId="3" fontId="84" fillId="20" borderId="47" xfId="0" applyNumberFormat="1" applyFont="1" applyFill="1" applyBorder="1" applyAlignment="1">
      <alignment horizontal="center" wrapText="1"/>
    </xf>
    <xf numFmtId="3" fontId="17" fillId="25" borderId="19" xfId="0" applyNumberFormat="1" applyFont="1" applyFill="1" applyBorder="1" applyAlignment="1">
      <alignment horizontal="center" wrapText="1"/>
    </xf>
    <xf numFmtId="0" fontId="40" fillId="7" borderId="0" xfId="0" applyFont="1" applyFill="1" applyAlignment="1">
      <alignment vertical="center"/>
    </xf>
    <xf numFmtId="0" fontId="87" fillId="7" borderId="0" xfId="0" applyFont="1" applyFill="1" applyAlignment="1">
      <alignment vertical="center"/>
    </xf>
    <xf numFmtId="0" fontId="11" fillId="7" borderId="21" xfId="0" applyFont="1" applyFill="1" applyBorder="1" applyAlignment="1">
      <alignment vertical="center"/>
    </xf>
    <xf numFmtId="0" fontId="78" fillId="7" borderId="21" xfId="0" applyFont="1" applyFill="1" applyBorder="1" applyAlignment="1">
      <alignment vertical="center"/>
    </xf>
    <xf numFmtId="0" fontId="20" fillId="7" borderId="16" xfId="0" applyFont="1" applyFill="1" applyBorder="1" applyAlignment="1">
      <alignment horizontal="center"/>
    </xf>
    <xf numFmtId="0" fontId="27" fillId="7" borderId="17" xfId="0" applyFont="1" applyFill="1" applyBorder="1" applyAlignment="1">
      <alignment horizontal="center"/>
    </xf>
    <xf numFmtId="0" fontId="20" fillId="7" borderId="21" xfId="0" applyFont="1" applyFill="1" applyBorder="1" applyAlignment="1">
      <alignment horizontal="center" vertical="center"/>
    </xf>
    <xf numFmtId="0" fontId="27" fillId="7" borderId="22" xfId="0" applyFont="1" applyFill="1" applyBorder="1" applyAlignment="1">
      <alignment horizontal="center" vertical="center"/>
    </xf>
    <xf numFmtId="0" fontId="46" fillId="22" borderId="0" xfId="0" applyFont="1" applyFill="1"/>
    <xf numFmtId="0" fontId="86" fillId="22" borderId="0" xfId="0" applyFont="1" applyFill="1"/>
    <xf numFmtId="3" fontId="0" fillId="13" borderId="51" xfId="0" applyNumberFormat="1" applyFill="1" applyBorder="1" applyAlignment="1">
      <alignment horizontal="center" wrapText="1"/>
    </xf>
    <xf numFmtId="3" fontId="0" fillId="13" borderId="51" xfId="0" applyNumberFormat="1" applyFill="1" applyBorder="1" applyAlignment="1">
      <alignment horizontal="center"/>
    </xf>
    <xf numFmtId="169" fontId="17" fillId="25" borderId="19" xfId="1" quotePrefix="1" applyNumberFormat="1" applyFont="1" applyFill="1" applyBorder="1" applyAlignment="1">
      <alignment horizontal="center"/>
    </xf>
    <xf numFmtId="167" fontId="61" fillId="13" borderId="0" xfId="1" applyNumberFormat="1" applyFont="1" applyFill="1" applyBorder="1"/>
    <xf numFmtId="171" fontId="0" fillId="13" borderId="51" xfId="0" applyNumberFormat="1" applyFill="1" applyBorder="1"/>
    <xf numFmtId="167" fontId="0" fillId="13" borderId="0" xfId="0" applyNumberFormat="1" applyFill="1"/>
    <xf numFmtId="0" fontId="53" fillId="13" borderId="0" xfId="0" applyFont="1" applyFill="1"/>
    <xf numFmtId="3" fontId="0" fillId="13" borderId="0" xfId="0" applyNumberFormat="1" applyFill="1"/>
    <xf numFmtId="3" fontId="53" fillId="13" borderId="0" xfId="0" applyNumberFormat="1" applyFont="1" applyFill="1"/>
    <xf numFmtId="0" fontId="0" fillId="13" borderId="51" xfId="1" applyNumberFormat="1" applyFont="1" applyFill="1" applyBorder="1" applyAlignment="1">
      <alignment horizontal="center"/>
    </xf>
    <xf numFmtId="0" fontId="0" fillId="13" borderId="51" xfId="0" applyFill="1" applyBorder="1" applyAlignment="1">
      <alignment horizontal="center" vertical="center"/>
    </xf>
    <xf numFmtId="171" fontId="0" fillId="13" borderId="19" xfId="0" applyNumberFormat="1" applyFill="1" applyBorder="1" applyAlignment="1">
      <alignment horizontal="center" vertical="center"/>
    </xf>
    <xf numFmtId="0" fontId="0" fillId="13" borderId="51" xfId="1" applyNumberFormat="1" applyFont="1" applyFill="1" applyBorder="1" applyAlignment="1">
      <alignment horizontal="center" vertical="center"/>
    </xf>
    <xf numFmtId="0" fontId="0" fillId="13" borderId="51" xfId="0" applyFill="1" applyBorder="1" applyAlignment="1">
      <alignment horizontal="center"/>
    </xf>
    <xf numFmtId="171" fontId="0" fillId="13" borderId="19" xfId="0" applyNumberFormat="1" applyFill="1" applyBorder="1"/>
    <xf numFmtId="171" fontId="0" fillId="13" borderId="51" xfId="0" applyNumberFormat="1" applyFill="1" applyBorder="1" applyAlignment="1">
      <alignment horizontal="center"/>
    </xf>
    <xf numFmtId="3" fontId="0" fillId="13" borderId="52" xfId="0" applyNumberFormat="1" applyFill="1" applyBorder="1" applyAlignment="1">
      <alignment horizontal="center"/>
    </xf>
    <xf numFmtId="171" fontId="0" fillId="13" borderId="19" xfId="0" applyNumberFormat="1" applyFill="1" applyBorder="1" applyAlignment="1">
      <alignment horizontal="center"/>
    </xf>
    <xf numFmtId="171" fontId="10" fillId="12" borderId="60" xfId="0" applyNumberFormat="1" applyFont="1" applyFill="1" applyBorder="1"/>
    <xf numFmtId="171" fontId="2" fillId="12" borderId="27" xfId="0" applyNumberFormat="1" applyFont="1" applyFill="1" applyBorder="1"/>
    <xf numFmtId="167" fontId="10" fillId="12" borderId="27" xfId="0" applyNumberFormat="1" applyFont="1" applyFill="1" applyBorder="1"/>
    <xf numFmtId="167" fontId="111" fillId="12" borderId="27" xfId="0" applyNumberFormat="1" applyFont="1" applyFill="1" applyBorder="1"/>
    <xf numFmtId="3" fontId="84" fillId="20" borderId="48" xfId="0" applyNumberFormat="1" applyFont="1" applyFill="1" applyBorder="1" applyAlignment="1">
      <alignment horizontal="center" wrapText="1"/>
    </xf>
    <xf numFmtId="3" fontId="20" fillId="20" borderId="27" xfId="0" applyNumberFormat="1" applyFont="1" applyFill="1" applyBorder="1" applyAlignment="1">
      <alignment horizontal="center" wrapText="1"/>
    </xf>
    <xf numFmtId="17" fontId="4" fillId="3" borderId="0" xfId="0" quotePrefix="1" applyNumberFormat="1" applyFont="1" applyFill="1" applyAlignment="1">
      <alignment horizontal="center"/>
    </xf>
    <xf numFmtId="167" fontId="0" fillId="0" borderId="1" xfId="0" applyNumberFormat="1" applyBorder="1"/>
    <xf numFmtId="171" fontId="10" fillId="3" borderId="0" xfId="0" applyNumberFormat="1" applyFont="1" applyFill="1" applyBorder="1"/>
    <xf numFmtId="171" fontId="2" fillId="3" borderId="0" xfId="0" applyNumberFormat="1" applyFont="1" applyFill="1" applyBorder="1"/>
    <xf numFmtId="171" fontId="0" fillId="3" borderId="0" xfId="0" applyNumberFormat="1" applyFill="1"/>
    <xf numFmtId="167" fontId="62" fillId="0" borderId="1" xfId="0" applyNumberFormat="1" applyFont="1" applyBorder="1"/>
    <xf numFmtId="167" fontId="70" fillId="24" borderId="0" xfId="1" applyNumberFormat="1" applyFont="1" applyFill="1" applyBorder="1"/>
    <xf numFmtId="167" fontId="36" fillId="24" borderId="0" xfId="1" applyNumberFormat="1" applyFont="1" applyFill="1" applyBorder="1"/>
    <xf numFmtId="171" fontId="17" fillId="21" borderId="0" xfId="0" quotePrefix="1" applyNumberFormat="1" applyFont="1" applyFill="1" applyAlignment="1">
      <alignment horizontal="center"/>
    </xf>
    <xf numFmtId="167" fontId="70" fillId="21" borderId="19" xfId="1" applyNumberFormat="1" applyFont="1" applyFill="1" applyBorder="1"/>
    <xf numFmtId="169" fontId="17" fillId="21" borderId="0" xfId="1" quotePrefix="1" applyNumberFormat="1" applyFont="1" applyFill="1" applyBorder="1" applyAlignment="1">
      <alignment horizontal="center"/>
    </xf>
    <xf numFmtId="169" fontId="34" fillId="21" borderId="19" xfId="1" quotePrefix="1" applyNumberFormat="1" applyFont="1" applyFill="1" applyBorder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67" fontId="17" fillId="24" borderId="18" xfId="1" applyNumberFormat="1" applyFont="1" applyFill="1" applyBorder="1"/>
    <xf numFmtId="167" fontId="17" fillId="24" borderId="0" xfId="1" applyNumberFormat="1" applyFont="1" applyFill="1" applyBorder="1"/>
    <xf numFmtId="167" fontId="69" fillId="24" borderId="0" xfId="1" applyNumberFormat="1" applyFont="1" applyFill="1" applyBorder="1"/>
    <xf numFmtId="167" fontId="17" fillId="24" borderId="19" xfId="1" applyNumberFormat="1" applyFont="1" applyFill="1" applyBorder="1"/>
    <xf numFmtId="167" fontId="70" fillId="24" borderId="19" xfId="1" applyNumberFormat="1" applyFont="1" applyFill="1" applyBorder="1"/>
    <xf numFmtId="169" fontId="17" fillId="24" borderId="0" xfId="1" quotePrefix="1" applyNumberFormat="1" applyFont="1" applyFill="1" applyBorder="1" applyAlignment="1">
      <alignment horizontal="center"/>
    </xf>
    <xf numFmtId="169" fontId="34" fillId="24" borderId="19" xfId="1" quotePrefix="1" applyNumberFormat="1" applyFont="1" applyFill="1" applyBorder="1" applyAlignment="1">
      <alignment horizontal="center"/>
    </xf>
    <xf numFmtId="167" fontId="89" fillId="24" borderId="19" xfId="1" applyNumberFormat="1" applyFont="1" applyFill="1" applyBorder="1"/>
    <xf numFmtId="171" fontId="17" fillId="24" borderId="19" xfId="0" quotePrefix="1" applyNumberFormat="1" applyFont="1" applyFill="1" applyBorder="1" applyAlignment="1">
      <alignment horizontal="center"/>
    </xf>
    <xf numFmtId="165" fontId="17" fillId="24" borderId="0" xfId="1" applyFont="1" applyFill="1" applyBorder="1"/>
    <xf numFmtId="169" fontId="17" fillId="24" borderId="18" xfId="1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1" xfId="0" applyNumberFormat="1" applyFont="1" applyFill="1" applyBorder="1"/>
    <xf numFmtId="167" fontId="80" fillId="24" borderId="18" xfId="1" applyNumberFormat="1" applyFont="1" applyFill="1" applyBorder="1"/>
    <xf numFmtId="167" fontId="80" fillId="24" borderId="0" xfId="1" applyNumberFormat="1" applyFont="1" applyFill="1" applyBorder="1"/>
    <xf numFmtId="167" fontId="80" fillId="24" borderId="19" xfId="1" applyNumberFormat="1" applyFont="1" applyFill="1" applyBorder="1"/>
    <xf numFmtId="167" fontId="81" fillId="24" borderId="0" xfId="1" applyNumberFormat="1" applyFont="1" applyFill="1" applyBorder="1"/>
    <xf numFmtId="172" fontId="17" fillId="24" borderId="18" xfId="0" quotePrefix="1" applyNumberFormat="1" applyFont="1" applyFill="1" applyBorder="1" applyAlignment="1">
      <alignment horizontal="center"/>
    </xf>
    <xf numFmtId="173" fontId="17" fillId="24" borderId="19" xfId="0" quotePrefix="1" applyNumberFormat="1" applyFont="1" applyFill="1" applyBorder="1" applyAlignment="1">
      <alignment horizontal="center"/>
    </xf>
    <xf numFmtId="14" fontId="88" fillId="24" borderId="18" xfId="0" applyNumberFormat="1" applyFont="1" applyFill="1" applyBorder="1" applyAlignment="1">
      <alignment horizontal="center"/>
    </xf>
    <xf numFmtId="14" fontId="88" fillId="24" borderId="19" xfId="0" applyNumberFormat="1" applyFont="1" applyFill="1" applyBorder="1" applyAlignment="1">
      <alignment horizontal="center"/>
    </xf>
    <xf numFmtId="3" fontId="17" fillId="24" borderId="0" xfId="1" applyNumberFormat="1" applyFont="1" applyFill="1" applyBorder="1"/>
    <xf numFmtId="167" fontId="36" fillId="24" borderId="19" xfId="1" applyNumberFormat="1" applyFont="1" applyFill="1" applyBorder="1"/>
    <xf numFmtId="3" fontId="72" fillId="24" borderId="18" xfId="0" applyNumberFormat="1" applyFont="1" applyFill="1" applyBorder="1" applyAlignment="1">
      <alignment horizontal="center" wrapText="1"/>
    </xf>
    <xf numFmtId="1" fontId="72" fillId="24" borderId="0" xfId="0" applyNumberFormat="1" applyFont="1" applyFill="1" applyAlignment="1">
      <alignment horizontal="center" wrapText="1"/>
    </xf>
    <xf numFmtId="171" fontId="72" fillId="24" borderId="18" xfId="0" quotePrefix="1" applyNumberFormat="1" applyFont="1" applyFill="1" applyBorder="1" applyAlignment="1">
      <alignment horizontal="center"/>
    </xf>
    <xf numFmtId="171" fontId="72" fillId="24" borderId="19" xfId="0" quotePrefix="1" applyNumberFormat="1" applyFont="1" applyFill="1" applyBorder="1" applyAlignment="1">
      <alignment horizontal="center"/>
    </xf>
    <xf numFmtId="167" fontId="72" fillId="24" borderId="18" xfId="1" applyNumberFormat="1" applyFont="1" applyFill="1" applyBorder="1"/>
    <xf numFmtId="167" fontId="72" fillId="24" borderId="0" xfId="1" applyNumberFormat="1" applyFont="1" applyFill="1" applyBorder="1"/>
    <xf numFmtId="167" fontId="72" fillId="24" borderId="19" xfId="1" applyNumberFormat="1" applyFont="1" applyFill="1" applyBorder="1"/>
    <xf numFmtId="167" fontId="71" fillId="24" borderId="0" xfId="1" applyNumberFormat="1" applyFont="1" applyFill="1" applyBorder="1"/>
    <xf numFmtId="169" fontId="72" fillId="24" borderId="18" xfId="1" quotePrefix="1" applyNumberFormat="1" applyFont="1" applyFill="1" applyBorder="1" applyAlignment="1">
      <alignment horizontal="center"/>
    </xf>
    <xf numFmtId="3" fontId="72" fillId="24" borderId="51" xfId="0" applyNumberFormat="1" applyFont="1" applyFill="1" applyBorder="1" applyAlignment="1">
      <alignment horizontal="left"/>
    </xf>
    <xf numFmtId="0" fontId="88" fillId="24" borderId="0" xfId="0" applyFont="1" applyFill="1" applyAlignment="1">
      <alignment horizontal="center"/>
    </xf>
    <xf numFmtId="0" fontId="88" fillId="24" borderId="18" xfId="0" applyFont="1" applyFill="1" applyBorder="1" applyAlignment="1">
      <alignment horizontal="center"/>
    </xf>
    <xf numFmtId="0" fontId="94" fillId="24" borderId="51" xfId="0" applyNumberFormat="1" applyFont="1" applyFill="1" applyBorder="1"/>
    <xf numFmtId="168" fontId="94" fillId="24" borderId="51" xfId="0" applyNumberFormat="1" applyFont="1" applyFill="1" applyBorder="1"/>
    <xf numFmtId="3" fontId="16" fillId="24" borderId="0" xfId="0" applyNumberFormat="1" applyFont="1" applyFill="1" applyAlignment="1">
      <alignment horizontal="center" wrapText="1"/>
    </xf>
    <xf numFmtId="3" fontId="16" fillId="24" borderId="19" xfId="0" applyNumberFormat="1" applyFont="1" applyFill="1" applyBorder="1" applyAlignment="1">
      <alignment horizontal="center" wrapText="1"/>
    </xf>
    <xf numFmtId="3" fontId="17" fillId="24" borderId="65" xfId="0" applyNumberFormat="1" applyFont="1" applyFill="1" applyBorder="1"/>
    <xf numFmtId="3" fontId="17" fillId="21" borderId="0" xfId="0" applyNumberFormat="1" applyFont="1" applyFill="1" applyAlignment="1">
      <alignment horizontal="left"/>
    </xf>
    <xf numFmtId="167" fontId="17" fillId="24" borderId="18" xfId="1" applyNumberFormat="1" applyFont="1" applyFill="1" applyBorder="1" applyAlignment="1">
      <alignment horizontal="left" indent="5"/>
    </xf>
    <xf numFmtId="3" fontId="16" fillId="36" borderId="18" xfId="0" applyNumberFormat="1" applyFont="1" applyFill="1" applyBorder="1" applyAlignment="1">
      <alignment horizontal="center" wrapText="1"/>
    </xf>
    <xf numFmtId="3" fontId="17" fillId="36" borderId="0" xfId="0" applyNumberFormat="1" applyFont="1" applyFill="1" applyAlignment="1">
      <alignment horizontal="center" wrapText="1"/>
    </xf>
    <xf numFmtId="171" fontId="17" fillId="36" borderId="18" xfId="0" quotePrefix="1" applyNumberFormat="1" applyFont="1" applyFill="1" applyBorder="1" applyAlignment="1">
      <alignment horizontal="center"/>
    </xf>
    <xf numFmtId="171" fontId="17" fillId="36" borderId="0" xfId="0" quotePrefix="1" applyNumberFormat="1" applyFont="1" applyFill="1" applyAlignment="1">
      <alignment horizontal="center"/>
    </xf>
    <xf numFmtId="167" fontId="17" fillId="36" borderId="18" xfId="1" applyNumberFormat="1" applyFont="1" applyFill="1" applyBorder="1"/>
    <xf numFmtId="167" fontId="17" fillId="36" borderId="0" xfId="1" applyNumberFormat="1" applyFont="1" applyFill="1" applyBorder="1"/>
    <xf numFmtId="167" fontId="69" fillId="36" borderId="0" xfId="1" applyNumberFormat="1" applyFont="1" applyFill="1" applyBorder="1"/>
    <xf numFmtId="167" fontId="17" fillId="36" borderId="19" xfId="1" applyNumberFormat="1" applyFont="1" applyFill="1" applyBorder="1"/>
    <xf numFmtId="167" fontId="70" fillId="36" borderId="0" xfId="1" applyNumberFormat="1" applyFont="1" applyFill="1" applyBorder="1"/>
    <xf numFmtId="169" fontId="17" fillId="36" borderId="18" xfId="1" quotePrefix="1" applyNumberFormat="1" applyFont="1" applyFill="1" applyBorder="1" applyAlignment="1">
      <alignment horizontal="center"/>
    </xf>
    <xf numFmtId="169" fontId="34" fillId="36" borderId="19" xfId="1" quotePrefix="1" applyNumberFormat="1" applyFont="1" applyFill="1" applyBorder="1" applyAlignment="1">
      <alignment horizontal="center"/>
    </xf>
    <xf numFmtId="3" fontId="17" fillId="24" borderId="51" xfId="0" applyNumberFormat="1" applyFont="1" applyFill="1" applyBorder="1" applyAlignment="1">
      <alignment horizontal="left"/>
    </xf>
    <xf numFmtId="3" fontId="17" fillId="36" borderId="51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0" fontId="88" fillId="0" borderId="0" xfId="0" applyNumberFormat="1" applyFont="1" applyFill="1" applyBorder="1" applyAlignment="1" applyProtection="1">
      <alignment horizontal="center"/>
    </xf>
    <xf numFmtId="3" fontId="16" fillId="25" borderId="18" xfId="0" applyNumberFormat="1" applyFont="1" applyFill="1" applyBorder="1" applyAlignment="1">
      <alignment horizontal="center" wrapText="1"/>
    </xf>
    <xf numFmtId="0" fontId="88" fillId="25" borderId="0" xfId="0" applyFont="1" applyFill="1" applyAlignment="1">
      <alignment horizontal="center"/>
    </xf>
    <xf numFmtId="0" fontId="88" fillId="25" borderId="18" xfId="0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167" fontId="70" fillId="25" borderId="0" xfId="1" applyNumberFormat="1" applyFont="1" applyFill="1" applyBorder="1"/>
    <xf numFmtId="3" fontId="17" fillId="25" borderId="0" xfId="1" applyNumberFormat="1" applyFont="1" applyFill="1" applyBorder="1"/>
    <xf numFmtId="167" fontId="69" fillId="25" borderId="0" xfId="1" applyNumberFormat="1" applyFont="1" applyFill="1" applyBorder="1"/>
    <xf numFmtId="167" fontId="36" fillId="25" borderId="19" xfId="1" applyNumberFormat="1" applyFont="1" applyFill="1" applyBorder="1"/>
    <xf numFmtId="169" fontId="17" fillId="25" borderId="0" xfId="1" quotePrefix="1" applyNumberFormat="1" applyFont="1" applyFill="1" applyBorder="1" applyAlignment="1">
      <alignment horizontal="center"/>
    </xf>
    <xf numFmtId="169" fontId="34" fillId="25" borderId="19" xfId="1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167" fontId="89" fillId="25" borderId="19" xfId="1" applyNumberFormat="1" applyFont="1" applyFill="1" applyBorder="1"/>
    <xf numFmtId="167" fontId="70" fillId="25" borderId="19" xfId="1" applyNumberFormat="1" applyFont="1" applyFill="1" applyBorder="1"/>
    <xf numFmtId="3" fontId="17" fillId="25" borderId="0" xfId="0" applyNumberFormat="1" applyFont="1" applyFill="1" applyAlignment="1">
      <alignment horizontal="left"/>
    </xf>
    <xf numFmtId="167" fontId="69" fillId="25" borderId="18" xfId="1" applyNumberFormat="1" applyFont="1" applyFill="1" applyBorder="1"/>
    <xf numFmtId="167" fontId="110" fillId="25" borderId="0" xfId="1" applyNumberFormat="1" applyFont="1" applyFill="1" applyBorder="1"/>
    <xf numFmtId="167" fontId="69" fillId="25" borderId="53" xfId="1" applyNumberFormat="1" applyFont="1" applyFill="1" applyBorder="1"/>
    <xf numFmtId="167" fontId="17" fillId="25" borderId="53" xfId="1" applyNumberFormat="1" applyFont="1" applyFill="1" applyBorder="1"/>
    <xf numFmtId="0" fontId="0" fillId="13" borderId="0" xfId="0" applyFill="1" applyBorder="1" applyAlignment="1">
      <alignment horizontal="center"/>
    </xf>
    <xf numFmtId="3" fontId="4" fillId="13" borderId="19" xfId="0" applyNumberFormat="1" applyFont="1" applyFill="1" applyBorder="1"/>
    <xf numFmtId="167" fontId="16" fillId="0" borderId="0" xfId="1" applyNumberFormat="1" applyFont="1"/>
    <xf numFmtId="167" fontId="73" fillId="0" borderId="0" xfId="1" applyNumberFormat="1" applyFont="1"/>
    <xf numFmtId="167" fontId="69" fillId="0" borderId="0" xfId="1" applyNumberFormat="1" applyFont="1"/>
    <xf numFmtId="14" fontId="62" fillId="3" borderId="0" xfId="0" applyNumberFormat="1" applyFont="1" applyFill="1"/>
    <xf numFmtId="17" fontId="4" fillId="3" borderId="0" xfId="0" quotePrefix="1" applyNumberFormat="1" applyFont="1" applyFill="1" applyBorder="1" applyAlignment="1">
      <alignment horizontal="center"/>
    </xf>
    <xf numFmtId="171" fontId="17" fillId="0" borderId="0" xfId="0" quotePrefix="1" applyNumberFormat="1" applyFont="1" applyBorder="1" applyAlignment="1">
      <alignment horizontal="center" vertical="center"/>
    </xf>
    <xf numFmtId="171" fontId="17" fillId="3" borderId="0" xfId="0" quotePrefix="1" applyNumberFormat="1" applyFont="1" applyFill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14" fontId="62" fillId="3" borderId="0" xfId="0" applyNumberFormat="1" applyFont="1" applyFill="1" applyBorder="1"/>
    <xf numFmtId="174" fontId="62" fillId="3" borderId="0" xfId="0" applyNumberFormat="1" applyFont="1" applyFill="1" applyBorder="1"/>
    <xf numFmtId="0" fontId="62" fillId="0" borderId="51" xfId="0" applyFont="1" applyBorder="1"/>
    <xf numFmtId="0" fontId="62" fillId="2" borderId="51" xfId="0" applyFont="1" applyFill="1" applyBorder="1"/>
    <xf numFmtId="3" fontId="17" fillId="3" borderId="51" xfId="0" applyNumberFormat="1" applyFont="1" applyFill="1" applyBorder="1" applyAlignment="1">
      <alignment horizontal="left"/>
    </xf>
    <xf numFmtId="3" fontId="0" fillId="13" borderId="51" xfId="0" applyNumberFormat="1" applyFont="1" applyFill="1" applyBorder="1" applyAlignment="1">
      <alignment horizontal="center" wrapText="1"/>
    </xf>
    <xf numFmtId="3" fontId="0" fillId="13" borderId="52" xfId="0" applyNumberFormat="1" applyFont="1" applyFill="1" applyBorder="1" applyAlignment="1">
      <alignment horizontal="center" wrapText="1"/>
    </xf>
    <xf numFmtId="3" fontId="17" fillId="3" borderId="65" xfId="0" applyNumberFormat="1" applyFont="1" applyFill="1" applyBorder="1"/>
    <xf numFmtId="167" fontId="17" fillId="24" borderId="53" xfId="1" applyNumberFormat="1" applyFont="1" applyFill="1" applyBorder="1"/>
    <xf numFmtId="167" fontId="36" fillId="24" borderId="53" xfId="1" applyNumberFormat="1" applyFont="1" applyFill="1" applyBorder="1"/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171" fontId="0" fillId="0" borderId="1" xfId="0" applyNumberFormat="1" applyBorder="1" applyAlignment="1">
      <alignment horizontal="right"/>
    </xf>
    <xf numFmtId="3" fontId="111" fillId="0" borderId="16" xfId="0" applyNumberFormat="1" applyFont="1" applyBorder="1" applyAlignment="1">
      <alignment horizontal="center" vertical="center" wrapText="1"/>
    </xf>
    <xf numFmtId="3" fontId="111" fillId="0" borderId="21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1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3" fontId="18" fillId="0" borderId="67" xfId="0" applyNumberFormat="1" applyFont="1" applyBorder="1" applyAlignment="1">
      <alignment horizontal="center" vertical="center" wrapText="1"/>
    </xf>
    <xf numFmtId="3" fontId="18" fillId="0" borderId="62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3" fontId="18" fillId="0" borderId="50" xfId="0" applyNumberFormat="1" applyFont="1" applyBorder="1" applyAlignment="1">
      <alignment horizontal="center" vertical="center" wrapText="1"/>
    </xf>
    <xf numFmtId="3" fontId="18" fillId="0" borderId="52" xfId="0" applyNumberFormat="1" applyFont="1" applyBorder="1" applyAlignment="1">
      <alignment horizontal="center" vertical="center" wrapText="1"/>
    </xf>
    <xf numFmtId="0" fontId="39" fillId="20" borderId="18" xfId="0" applyFont="1" applyFill="1" applyBorder="1" applyAlignment="1">
      <alignment horizontal="left"/>
    </xf>
    <xf numFmtId="0" fontId="39" fillId="20" borderId="0" xfId="0" applyFont="1" applyFill="1" applyBorder="1" applyAlignment="1">
      <alignment horizontal="left"/>
    </xf>
    <xf numFmtId="3" fontId="83" fillId="12" borderId="20" xfId="0" applyNumberFormat="1" applyFont="1" applyFill="1" applyBorder="1" applyAlignment="1">
      <alignment horizontal="right" vertical="center" wrapText="1"/>
    </xf>
    <xf numFmtId="3" fontId="83" fillId="12" borderId="21" xfId="0" applyNumberFormat="1" applyFont="1" applyFill="1" applyBorder="1" applyAlignment="1">
      <alignment horizontal="right" vertical="center" wrapText="1"/>
    </xf>
    <xf numFmtId="0" fontId="46" fillId="23" borderId="26" xfId="0" applyFont="1" applyFill="1" applyBorder="1" applyAlignment="1">
      <alignment horizontal="center"/>
    </xf>
    <xf numFmtId="0" fontId="46" fillId="23" borderId="27" xfId="0" applyFont="1" applyFill="1" applyBorder="1" applyAlignment="1">
      <alignment horizontal="center"/>
    </xf>
    <xf numFmtId="168" fontId="17" fillId="36" borderId="51" xfId="0" applyNumberFormat="1" applyFont="1" applyFill="1" applyBorder="1"/>
    <xf numFmtId="169" fontId="17" fillId="36" borderId="0" xfId="1" quotePrefix="1" applyNumberFormat="1" applyFont="1" applyFill="1" applyBorder="1" applyAlignment="1">
      <alignment horizontal="center"/>
    </xf>
    <xf numFmtId="0" fontId="62" fillId="0" borderId="0" xfId="0" applyFont="1" applyBorder="1"/>
    <xf numFmtId="167" fontId="4" fillId="13" borderId="21" xfId="1" applyNumberFormat="1" applyFont="1" applyFill="1" applyBorder="1"/>
    <xf numFmtId="3" fontId="17" fillId="3" borderId="0" xfId="0" applyNumberFormat="1" applyFont="1" applyFill="1" applyBorder="1" applyAlignment="1">
      <alignment horizontal="left"/>
    </xf>
    <xf numFmtId="3" fontId="17" fillId="36" borderId="18" xfId="0" applyNumberFormat="1" applyFont="1" applyFill="1" applyBorder="1" applyAlignment="1">
      <alignment horizontal="center" wrapText="1"/>
    </xf>
    <xf numFmtId="14" fontId="93" fillId="36" borderId="18" xfId="0" applyNumberFormat="1" applyFont="1" applyFill="1" applyBorder="1" applyAlignment="1">
      <alignment horizontal="center"/>
    </xf>
    <xf numFmtId="14" fontId="93" fillId="36" borderId="19" xfId="0" applyNumberFormat="1" applyFont="1" applyFill="1" applyBorder="1" applyAlignment="1">
      <alignment horizontal="center"/>
    </xf>
    <xf numFmtId="167" fontId="36" fillId="36" borderId="0" xfId="1" applyNumberFormat="1" applyFont="1" applyFill="1" applyBorder="1"/>
    <xf numFmtId="3" fontId="17" fillId="36" borderId="0" xfId="1" applyNumberFormat="1" applyFont="1" applyFill="1" applyBorder="1"/>
    <xf numFmtId="167" fontId="36" fillId="36" borderId="19" xfId="1" applyNumberFormat="1" applyFont="1" applyFill="1" applyBorder="1"/>
    <xf numFmtId="169" fontId="17" fillId="36" borderId="19" xfId="1" quotePrefix="1" applyNumberFormat="1" applyFont="1" applyFill="1" applyBorder="1" applyAlignment="1">
      <alignment horizontal="center"/>
    </xf>
    <xf numFmtId="167" fontId="81" fillId="24" borderId="19" xfId="1" applyNumberFormat="1" applyFont="1" applyFill="1" applyBorder="1"/>
    <xf numFmtId="167" fontId="89" fillId="16" borderId="19" xfId="1" applyNumberFormat="1" applyFont="1" applyFill="1" applyBorder="1"/>
    <xf numFmtId="167" fontId="89" fillId="17" borderId="19" xfId="1" applyNumberFormat="1" applyFont="1" applyFill="1" applyBorder="1"/>
    <xf numFmtId="167" fontId="89" fillId="21" borderId="19" xfId="1" applyNumberFormat="1" applyFont="1" applyFill="1" applyBorder="1"/>
    <xf numFmtId="167" fontId="36" fillId="24" borderId="61" xfId="1" applyNumberFormat="1" applyFont="1" applyFill="1" applyBorder="1"/>
    <xf numFmtId="169" fontId="17" fillId="24" borderId="19" xfId="1" quotePrefix="1" applyNumberFormat="1" applyFont="1" applyFill="1" applyBorder="1" applyAlignment="1">
      <alignment horizontal="center"/>
    </xf>
    <xf numFmtId="3" fontId="0" fillId="13" borderId="0" xfId="0" applyNumberFormat="1" applyFill="1" applyBorder="1" applyAlignment="1">
      <alignment horizontal="center" wrapText="1"/>
    </xf>
    <xf numFmtId="167" fontId="4" fillId="13" borderId="0" xfId="1" applyNumberFormat="1" applyFont="1" applyFill="1"/>
    <xf numFmtId="0" fontId="0" fillId="13" borderId="52" xfId="0" applyFill="1" applyBorder="1" applyAlignment="1">
      <alignment horizontal="center"/>
    </xf>
    <xf numFmtId="171" fontId="0" fillId="13" borderId="52" xfId="0" applyNumberFormat="1" applyFill="1" applyBorder="1" applyAlignment="1">
      <alignment horizontal="center"/>
    </xf>
    <xf numFmtId="171" fontId="0" fillId="13" borderId="20" xfId="0" applyNumberFormat="1" applyFill="1" applyBorder="1"/>
    <xf numFmtId="3" fontId="0" fillId="13" borderId="20" xfId="0" applyNumberFormat="1" applyFill="1" applyBorder="1"/>
    <xf numFmtId="167" fontId="72" fillId="24" borderId="0" xfId="1" applyNumberFormat="1" applyFont="1" applyFill="1" applyBorder="1" applyAlignment="1"/>
    <xf numFmtId="167" fontId="17" fillId="24" borderId="0" xfId="1" applyNumberFormat="1" applyFont="1" applyFill="1" applyBorder="1" applyAlignment="1"/>
    <xf numFmtId="167" fontId="17" fillId="16" borderId="0" xfId="1" applyNumberFormat="1" applyFont="1" applyFill="1" applyBorder="1" applyAlignment="1"/>
    <xf numFmtId="167" fontId="17" fillId="21" borderId="0" xfId="1" applyNumberFormat="1" applyFont="1" applyFill="1" applyBorder="1" applyAlignment="1"/>
    <xf numFmtId="167" fontId="17" fillId="36" borderId="0" xfId="1" applyNumberFormat="1" applyFont="1" applyFill="1" applyBorder="1" applyAlignment="1"/>
    <xf numFmtId="167" fontId="84" fillId="20" borderId="27" xfId="1" applyNumberFormat="1" applyFont="1" applyFill="1" applyBorder="1" applyAlignment="1"/>
    <xf numFmtId="167" fontId="17" fillId="17" borderId="0" xfId="1" applyNumberFormat="1" applyFont="1" applyFill="1" applyBorder="1" applyAlignment="1"/>
    <xf numFmtId="167" fontId="17" fillId="25" borderId="0" xfId="1" applyNumberFormat="1" applyFont="1" applyFill="1" applyBorder="1" applyAlignment="1"/>
    <xf numFmtId="167" fontId="89" fillId="16" borderId="0" xfId="1" applyNumberFormat="1" applyFont="1" applyFill="1" applyBorder="1" applyAlignment="1"/>
    <xf numFmtId="167" fontId="69" fillId="25" borderId="0" xfId="1" applyNumberFormat="1" applyFont="1" applyFill="1" applyBorder="1" applyAlignment="1"/>
    <xf numFmtId="167" fontId="16" fillId="0" borderId="0" xfId="1" applyNumberFormat="1" applyFont="1" applyAlignment="1"/>
    <xf numFmtId="167" fontId="4" fillId="13" borderId="0" xfId="1" applyNumberFormat="1" applyFont="1" applyFill="1" applyBorder="1" applyAlignment="1"/>
    <xf numFmtId="0" fontId="0" fillId="13" borderId="0" xfId="0" applyFill="1" applyAlignment="1"/>
    <xf numFmtId="167" fontId="0" fillId="13" borderId="0" xfId="1" applyNumberFormat="1" applyFont="1" applyFill="1" applyAlignment="1"/>
    <xf numFmtId="3" fontId="0" fillId="13" borderId="0" xfId="0" applyNumberFormat="1" applyFill="1" applyAlignment="1"/>
    <xf numFmtId="167" fontId="10" fillId="12" borderId="27" xfId="0" applyNumberFormat="1" applyFont="1" applyFill="1" applyBorder="1" applyAlignment="1"/>
    <xf numFmtId="0" fontId="0" fillId="0" borderId="0" xfId="0" applyAlignment="1"/>
    <xf numFmtId="0" fontId="62" fillId="0" borderId="0" xfId="0" applyFont="1" applyAlignment="1"/>
    <xf numFmtId="3" fontId="3" fillId="0" borderId="16" xfId="0" applyNumberFormat="1" applyFont="1" applyBorder="1" applyAlignment="1"/>
    <xf numFmtId="3" fontId="3" fillId="0" borderId="21" xfId="0" applyNumberFormat="1" applyFont="1" applyBorder="1" applyAlignment="1"/>
    <xf numFmtId="167" fontId="67" fillId="20" borderId="27" xfId="1" applyNumberFormat="1" applyFont="1" applyFill="1" applyBorder="1" applyAlignment="1"/>
    <xf numFmtId="3" fontId="0" fillId="13" borderId="18" xfId="0" applyNumberFormat="1" applyFill="1" applyBorder="1"/>
    <xf numFmtId="167" fontId="4" fillId="3" borderId="22" xfId="1" applyNumberFormat="1" applyFont="1" applyFill="1" applyBorder="1"/>
    <xf numFmtId="167" fontId="4" fillId="13" borderId="22" xfId="1" applyNumberFormat="1" applyFont="1" applyFill="1" applyBorder="1"/>
    <xf numFmtId="17" fontId="0" fillId="0" borderId="0" xfId="0" applyNumberFormat="1"/>
    <xf numFmtId="3" fontId="0" fillId="0" borderId="39" xfId="0" applyNumberFormat="1" applyBorder="1"/>
    <xf numFmtId="0" fontId="88" fillId="24" borderId="0" xfId="0" applyNumberFormat="1" applyFont="1" applyFill="1" applyBorder="1" applyAlignment="1" applyProtection="1">
      <alignment horizontal="center"/>
    </xf>
    <xf numFmtId="167" fontId="70" fillId="24" borderId="53" xfId="1" applyNumberFormat="1" applyFont="1" applyFill="1" applyBorder="1"/>
    <xf numFmtId="3" fontId="17" fillId="24" borderId="0" xfId="0" applyNumberFormat="1" applyFont="1" applyFill="1" applyAlignment="1">
      <alignment horizontal="left"/>
    </xf>
    <xf numFmtId="3" fontId="16" fillId="0" borderId="0" xfId="0" applyNumberFormat="1" applyFont="1"/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3" fontId="20" fillId="15" borderId="9" xfId="0" applyNumberFormat="1" applyFont="1" applyFill="1" applyBorder="1" applyAlignment="1">
      <alignment horizontal="center"/>
    </xf>
    <xf numFmtId="0" fontId="46" fillId="12" borderId="27" xfId="0" applyFont="1" applyFill="1" applyBorder="1" applyAlignment="1">
      <alignment horizontal="center"/>
    </xf>
    <xf numFmtId="168" fontId="17" fillId="25" borderId="51" xfId="0" applyNumberFormat="1" applyFont="1" applyFill="1" applyBorder="1"/>
    <xf numFmtId="3" fontId="17" fillId="25" borderId="18" xfId="0" applyNumberFormat="1" applyFont="1" applyFill="1" applyBorder="1" applyAlignment="1">
      <alignment horizontal="center" wrapText="1"/>
    </xf>
    <xf numFmtId="171" fontId="17" fillId="25" borderId="19" xfId="0" quotePrefix="1" applyNumberFormat="1" applyFont="1" applyFill="1" applyBorder="1" applyAlignment="1">
      <alignment horizontal="center"/>
    </xf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68" fontId="89" fillId="7" borderId="51" xfId="0" applyNumberFormat="1" applyFont="1" applyFill="1" applyBorder="1"/>
    <xf numFmtId="171" fontId="17" fillId="25" borderId="0" xfId="0" quotePrefix="1" applyNumberFormat="1" applyFont="1" applyFill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71" fontId="17" fillId="24" borderId="19" xfId="0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1" xfId="0" applyNumberFormat="1" applyFont="1" applyFill="1" applyBorder="1"/>
    <xf numFmtId="3" fontId="17" fillId="24" borderId="65" xfId="0" applyNumberFormat="1" applyFont="1" applyFill="1" applyBorder="1"/>
    <xf numFmtId="3" fontId="17" fillId="24" borderId="51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left"/>
    </xf>
    <xf numFmtId="14" fontId="113" fillId="3" borderId="18" xfId="0" applyNumberFormat="1" applyFont="1" applyFill="1" applyBorder="1" applyAlignment="1">
      <alignment horizontal="center"/>
    </xf>
    <xf numFmtId="14" fontId="113" fillId="3" borderId="19" xfId="0" applyNumberFormat="1" applyFont="1" applyFill="1" applyBorder="1" applyAlignment="1">
      <alignment horizontal="center"/>
    </xf>
    <xf numFmtId="167" fontId="95" fillId="7" borderId="53" xfId="1" applyNumberFormat="1" applyFont="1" applyFill="1" applyBorder="1"/>
    <xf numFmtId="14" fontId="93" fillId="24" borderId="19" xfId="0" applyNumberFormat="1" applyFont="1" applyFill="1" applyBorder="1" applyAlignment="1">
      <alignment horizontal="center"/>
    </xf>
    <xf numFmtId="167" fontId="36" fillId="25" borderId="53" xfId="1" applyNumberFormat="1" applyFont="1" applyFill="1" applyBorder="1"/>
    <xf numFmtId="14" fontId="88" fillId="25" borderId="18" xfId="0" applyNumberFormat="1" applyFont="1" applyFill="1" applyBorder="1" applyAlignment="1">
      <alignment horizontal="center"/>
    </xf>
    <xf numFmtId="169" fontId="34" fillId="25" borderId="0" xfId="1" quotePrefix="1" applyNumberFormat="1" applyFont="1" applyFill="1" applyBorder="1" applyAlignment="1">
      <alignment horizontal="center"/>
    </xf>
    <xf numFmtId="167" fontId="89" fillId="25" borderId="0" xfId="1" applyNumberFormat="1" applyFont="1" applyFill="1" applyBorder="1" applyAlignment="1"/>
    <xf numFmtId="171" fontId="17" fillId="24" borderId="61" xfId="0" quotePrefix="1" applyNumberFormat="1" applyFont="1" applyFill="1" applyBorder="1" applyAlignment="1">
      <alignment horizontal="center"/>
    </xf>
    <xf numFmtId="169" fontId="17" fillId="24" borderId="61" xfId="1" quotePrefix="1" applyNumberFormat="1" applyFont="1" applyFill="1" applyBorder="1" applyAlignment="1">
      <alignment horizontal="center"/>
    </xf>
    <xf numFmtId="3" fontId="17" fillId="24" borderId="61" xfId="0" applyNumberFormat="1" applyFont="1" applyFill="1" applyBorder="1"/>
    <xf numFmtId="14" fontId="17" fillId="24" borderId="18" xfId="0" quotePrefix="1" applyNumberFormat="1" applyFont="1" applyFill="1" applyBorder="1" applyAlignment="1">
      <alignment horizontal="center"/>
    </xf>
    <xf numFmtId="14" fontId="17" fillId="24" borderId="19" xfId="0" quotePrefix="1" applyNumberFormat="1" applyFont="1" applyFill="1" applyBorder="1" applyAlignment="1">
      <alignment horizontal="center"/>
    </xf>
    <xf numFmtId="0" fontId="93" fillId="24" borderId="0" xfId="0" applyFont="1" applyFill="1" applyAlignment="1">
      <alignment horizontal="center"/>
    </xf>
    <xf numFmtId="0" fontId="93" fillId="24" borderId="18" xfId="0" applyFont="1" applyFill="1" applyBorder="1" applyAlignment="1">
      <alignment horizontal="center"/>
    </xf>
    <xf numFmtId="167" fontId="17" fillId="25" borderId="19" xfId="1" quotePrefix="1" applyNumberFormat="1" applyFont="1" applyFill="1" applyBorder="1" applyAlignment="1">
      <alignment horizontal="center"/>
    </xf>
    <xf numFmtId="171" fontId="17" fillId="25" borderId="61" xfId="0" quotePrefix="1" applyNumberFormat="1" applyFont="1" applyFill="1" applyBorder="1" applyAlignment="1">
      <alignment horizontal="center"/>
    </xf>
    <xf numFmtId="0" fontId="93" fillId="25" borderId="0" xfId="0" applyNumberFormat="1" applyFont="1" applyFill="1" applyBorder="1" applyAlignment="1" applyProtection="1">
      <alignment horizontal="center"/>
    </xf>
    <xf numFmtId="169" fontId="89" fillId="24" borderId="19" xfId="1" quotePrefix="1" applyNumberFormat="1" applyFont="1" applyFill="1" applyBorder="1" applyAlignment="1">
      <alignment horizontal="center"/>
    </xf>
    <xf numFmtId="168" fontId="34" fillId="24" borderId="51" xfId="0" applyNumberFormat="1" applyFont="1" applyFill="1" applyBorder="1"/>
    <xf numFmtId="14" fontId="13" fillId="30" borderId="41" xfId="0" applyNumberFormat="1" applyFont="1" applyFill="1" applyBorder="1" applyAlignment="1">
      <alignment horizontal="left" vertical="center"/>
    </xf>
    <xf numFmtId="169" fontId="34" fillId="7" borderId="0" xfId="1" quotePrefix="1" applyNumberFormat="1" applyFont="1" applyFill="1" applyBorder="1" applyAlignment="1">
      <alignment horizontal="center"/>
    </xf>
    <xf numFmtId="168" fontId="34" fillId="7" borderId="51" xfId="0" applyNumberFormat="1" applyFont="1" applyFill="1" applyBorder="1"/>
    <xf numFmtId="0" fontId="34" fillId="3" borderId="0" xfId="0" applyFont="1" applyFill="1"/>
    <xf numFmtId="0" fontId="115" fillId="23" borderId="27" xfId="0" applyFont="1" applyFill="1" applyBorder="1" applyAlignment="1">
      <alignment horizontal="center"/>
    </xf>
    <xf numFmtId="0" fontId="116" fillId="20" borderId="0" xfId="0" applyFont="1" applyFill="1" applyBorder="1" applyAlignment="1">
      <alignment horizontal="left"/>
    </xf>
    <xf numFmtId="0" fontId="111" fillId="0" borderId="1" xfId="0" applyFont="1" applyBorder="1" applyAlignment="1">
      <alignment horizontal="center" wrapText="1"/>
    </xf>
    <xf numFmtId="167" fontId="61" fillId="0" borderId="1" xfId="0" applyNumberFormat="1" applyFont="1" applyBorder="1"/>
    <xf numFmtId="14" fontId="93" fillId="3" borderId="18" xfId="0" applyNumberFormat="1" applyFont="1" applyFill="1" applyBorder="1" applyAlignment="1">
      <alignment horizontal="center"/>
    </xf>
    <xf numFmtId="14" fontId="93" fillId="3" borderId="19" xfId="0" applyNumberFormat="1" applyFont="1" applyFill="1" applyBorder="1" applyAlignment="1">
      <alignment horizontal="center"/>
    </xf>
    <xf numFmtId="167" fontId="34" fillId="17" borderId="0" xfId="1" applyNumberFormat="1" applyFont="1" applyFill="1" applyBorder="1" applyAlignment="1"/>
    <xf numFmtId="167" fontId="17" fillId="25" borderId="61" xfId="1" applyNumberFormat="1" applyFont="1" applyFill="1" applyBorder="1"/>
    <xf numFmtId="3" fontId="17" fillId="16" borderId="1" xfId="0" applyNumberFormat="1" applyFont="1" applyFill="1" applyBorder="1" applyAlignment="1">
      <alignment horizontal="center" wrapText="1"/>
    </xf>
    <xf numFmtId="3" fontId="114" fillId="25" borderId="0" xfId="0" applyNumberFormat="1" applyFont="1" applyFill="1" applyAlignment="1">
      <alignment horizontal="center" wrapText="1"/>
    </xf>
    <xf numFmtId="168" fontId="76" fillId="25" borderId="51" xfId="0" applyNumberFormat="1" applyFont="1" applyFill="1" applyBorder="1"/>
    <xf numFmtId="0" fontId="76" fillId="25" borderId="0" xfId="1" applyNumberFormat="1" applyFont="1" applyFill="1" applyAlignment="1">
      <alignment horizontal="center"/>
    </xf>
    <xf numFmtId="43" fontId="62" fillId="0" borderId="0" xfId="0" applyNumberFormat="1" applyFont="1"/>
    <xf numFmtId="17" fontId="4" fillId="2" borderId="0" xfId="0" quotePrefix="1" applyNumberFormat="1" applyFont="1" applyFill="1" applyBorder="1" applyAlignment="1">
      <alignment horizontal="center"/>
    </xf>
    <xf numFmtId="167" fontId="4" fillId="2" borderId="19" xfId="1" applyNumberFormat="1" applyFont="1" applyFill="1" applyBorder="1"/>
    <xf numFmtId="17" fontId="4" fillId="2" borderId="0" xfId="0" quotePrefix="1" applyNumberFormat="1" applyFont="1" applyFill="1" applyBorder="1" applyAlignment="1">
      <alignment horizontal="center" vertical="center"/>
    </xf>
    <xf numFmtId="0" fontId="62" fillId="3" borderId="51" xfId="0" applyFont="1" applyFill="1" applyBorder="1"/>
    <xf numFmtId="14" fontId="62" fillId="2" borderId="0" xfId="0" applyNumberFormat="1" applyFont="1" applyFill="1"/>
    <xf numFmtId="167" fontId="16" fillId="3" borderId="0" xfId="0" applyNumberFormat="1" applyFont="1" applyFill="1"/>
    <xf numFmtId="3" fontId="62" fillId="0" borderId="0" xfId="0" applyNumberFormat="1" applyFont="1"/>
    <xf numFmtId="14" fontId="93" fillId="24" borderId="18" xfId="0" applyNumberFormat="1" applyFont="1" applyFill="1" applyBorder="1" applyAlignment="1">
      <alignment horizontal="center"/>
    </xf>
    <xf numFmtId="3" fontId="16" fillId="24" borderId="51" xfId="0" applyNumberFormat="1" applyFont="1" applyFill="1" applyBorder="1" applyAlignment="1">
      <alignment horizontal="left"/>
    </xf>
    <xf numFmtId="1" fontId="13" fillId="9" borderId="40" xfId="0" quotePrefix="1" applyNumberFormat="1" applyFont="1" applyFill="1" applyBorder="1" applyAlignment="1">
      <alignment horizontal="left"/>
    </xf>
    <xf numFmtId="167" fontId="84" fillId="20" borderId="69" xfId="1" applyNumberFormat="1" applyFont="1" applyFill="1" applyBorder="1"/>
    <xf numFmtId="0" fontId="3" fillId="0" borderId="71" xfId="0" applyFont="1" applyBorder="1" applyAlignment="1">
      <alignment horizontal="center" wrapText="1"/>
    </xf>
    <xf numFmtId="0" fontId="3" fillId="0" borderId="72" xfId="0" applyFont="1" applyBorder="1" applyAlignment="1">
      <alignment horizontal="center" wrapText="1"/>
    </xf>
    <xf numFmtId="0" fontId="3" fillId="0" borderId="73" xfId="0" applyFont="1" applyBorder="1" applyAlignment="1">
      <alignment horizontal="center"/>
    </xf>
    <xf numFmtId="0" fontId="3" fillId="0" borderId="74" xfId="0" applyFont="1" applyBorder="1" applyAlignment="1">
      <alignment horizontal="center"/>
    </xf>
    <xf numFmtId="3" fontId="0" fillId="2" borderId="61" xfId="0" applyNumberFormat="1" applyFill="1" applyBorder="1" applyAlignment="1">
      <alignment horizontal="center"/>
    </xf>
    <xf numFmtId="3" fontId="0" fillId="3" borderId="70" xfId="0" applyNumberFormat="1" applyFill="1" applyBorder="1" applyAlignment="1">
      <alignment horizontal="center"/>
    </xf>
    <xf numFmtId="167" fontId="84" fillId="20" borderId="75" xfId="1" applyNumberFormat="1" applyFont="1" applyFill="1" applyBorder="1"/>
    <xf numFmtId="170" fontId="4" fillId="3" borderId="61" xfId="0" quotePrefix="1" applyNumberFormat="1" applyFont="1" applyFill="1" applyBorder="1" applyAlignment="1">
      <alignment horizontal="center"/>
    </xf>
    <xf numFmtId="0" fontId="62" fillId="0" borderId="70" xfId="0" applyFont="1" applyBorder="1" applyAlignment="1">
      <alignment horizontal="center" vertical="center"/>
    </xf>
    <xf numFmtId="14" fontId="62" fillId="2" borderId="61" xfId="0" applyNumberFormat="1" applyFont="1" applyFill="1" applyBorder="1"/>
    <xf numFmtId="14" fontId="62" fillId="3" borderId="61" xfId="0" applyNumberFormat="1" applyFont="1" applyFill="1" applyBorder="1"/>
    <xf numFmtId="14" fontId="62" fillId="2" borderId="76" xfId="0" applyNumberFormat="1" applyFont="1" applyFill="1" applyBorder="1"/>
    <xf numFmtId="3" fontId="14" fillId="0" borderId="0" xfId="0" applyNumberFormat="1" applyFont="1" applyBorder="1" applyAlignment="1">
      <alignment horizontal="right" vertical="center"/>
    </xf>
    <xf numFmtId="43" fontId="0" fillId="0" borderId="0" xfId="0" applyNumberFormat="1" applyBorder="1"/>
    <xf numFmtId="0" fontId="9" fillId="0" borderId="0" xfId="0" applyFont="1" applyAlignment="1">
      <alignment horizontal="center"/>
    </xf>
    <xf numFmtId="0" fontId="117" fillId="0" borderId="0" xfId="0" applyFont="1" applyAlignment="1">
      <alignment horizontal="right"/>
    </xf>
    <xf numFmtId="0" fontId="117" fillId="0" borderId="0" xfId="0" applyFont="1"/>
    <xf numFmtId="0" fontId="118" fillId="0" borderId="0" xfId="0" applyFont="1"/>
    <xf numFmtId="0" fontId="119" fillId="0" borderId="0" xfId="0" applyFont="1" applyAlignment="1">
      <alignment horizontal="center"/>
    </xf>
    <xf numFmtId="165" fontId="117" fillId="0" borderId="53" xfId="1" applyFont="1" applyFill="1" applyBorder="1" applyAlignment="1">
      <alignment horizontal="center" wrapText="1"/>
    </xf>
    <xf numFmtId="43" fontId="117" fillId="0" borderId="0" xfId="0" applyNumberFormat="1" applyFont="1"/>
    <xf numFmtId="165" fontId="117" fillId="0" borderId="0" xfId="1" applyFont="1" applyFill="1" applyBorder="1" applyAlignment="1">
      <alignment horizontal="center" vertical="center"/>
    </xf>
    <xf numFmtId="0" fontId="121" fillId="0" borderId="0" xfId="0" applyFont="1"/>
    <xf numFmtId="43" fontId="122" fillId="0" borderId="0" xfId="0" applyNumberFormat="1" applyFont="1"/>
    <xf numFmtId="0" fontId="123" fillId="0" borderId="0" xfId="0" applyFont="1"/>
    <xf numFmtId="0" fontId="124" fillId="0" borderId="0" xfId="0" applyFont="1"/>
    <xf numFmtId="167" fontId="121" fillId="0" borderId="0" xfId="0" applyNumberFormat="1" applyFont="1"/>
    <xf numFmtId="169" fontId="17" fillId="21" borderId="19" xfId="1" quotePrefix="1" applyNumberFormat="1" applyFont="1" applyFill="1" applyBorder="1" applyAlignment="1">
      <alignment horizontal="center"/>
    </xf>
    <xf numFmtId="3" fontId="17" fillId="21" borderId="18" xfId="0" applyNumberFormat="1" applyFont="1" applyFill="1" applyBorder="1" applyAlignment="1">
      <alignment horizontal="center" wrapText="1"/>
    </xf>
    <xf numFmtId="167" fontId="36" fillId="21" borderId="0" xfId="1" applyNumberFormat="1" applyFont="1" applyFill="1" applyBorder="1"/>
    <xf numFmtId="167" fontId="36" fillId="21" borderId="19" xfId="1" applyNumberFormat="1" applyFont="1" applyFill="1" applyBorder="1"/>
    <xf numFmtId="4" fontId="45" fillId="0" borderId="0" xfId="0" applyNumberFormat="1" applyFont="1"/>
    <xf numFmtId="167" fontId="0" fillId="0" borderId="0" xfId="1" applyNumberFormat="1" applyFont="1" applyAlignment="1">
      <alignment horizontal="center"/>
    </xf>
    <xf numFmtId="3" fontId="76" fillId="24" borderId="18" xfId="0" applyNumberFormat="1" applyFont="1" applyFill="1" applyBorder="1" applyAlignment="1">
      <alignment horizontal="center" wrapText="1"/>
    </xf>
    <xf numFmtId="3" fontId="76" fillId="24" borderId="0" xfId="0" applyNumberFormat="1" applyFont="1" applyFill="1" applyAlignment="1">
      <alignment horizontal="center" wrapText="1"/>
    </xf>
    <xf numFmtId="0" fontId="76" fillId="24" borderId="19" xfId="0" applyFont="1" applyFill="1" applyBorder="1" applyAlignment="1">
      <alignment horizontal="center"/>
    </xf>
    <xf numFmtId="167" fontId="76" fillId="24" borderId="18" xfId="1" applyNumberFormat="1" applyFont="1" applyFill="1" applyBorder="1"/>
    <xf numFmtId="167" fontId="76" fillId="24" borderId="0" xfId="1" applyNumberFormat="1" applyFont="1" applyFill="1" applyBorder="1"/>
    <xf numFmtId="167" fontId="76" fillId="24" borderId="19" xfId="1" applyNumberFormat="1" applyFont="1" applyFill="1" applyBorder="1"/>
    <xf numFmtId="170" fontId="76" fillId="24" borderId="0" xfId="0" quotePrefix="1" applyNumberFormat="1" applyFont="1" applyFill="1" applyAlignment="1">
      <alignment horizontal="center"/>
    </xf>
    <xf numFmtId="168" fontId="76" fillId="24" borderId="51" xfId="0" applyNumberFormat="1" applyFont="1" applyFill="1" applyBorder="1"/>
    <xf numFmtId="43" fontId="9" fillId="0" borderId="0" xfId="0" applyNumberFormat="1" applyFont="1"/>
    <xf numFmtId="43" fontId="14" fillId="0" borderId="0" xfId="0" applyNumberFormat="1" applyFont="1"/>
    <xf numFmtId="43" fontId="0" fillId="0" borderId="0" xfId="0" applyNumberFormat="1"/>
    <xf numFmtId="3" fontId="17" fillId="24" borderId="0" xfId="0" applyNumberFormat="1" applyFont="1" applyFill="1" applyBorder="1" applyAlignment="1">
      <alignment horizontal="center" wrapText="1"/>
    </xf>
    <xf numFmtId="3" fontId="17" fillId="25" borderId="0" xfId="0" applyNumberFormat="1" applyFont="1" applyFill="1" applyBorder="1" applyAlignment="1">
      <alignment horizontal="center" wrapText="1"/>
    </xf>
    <xf numFmtId="14" fontId="93" fillId="25" borderId="18" xfId="0" applyNumberFormat="1" applyFont="1" applyFill="1" applyBorder="1" applyAlignment="1">
      <alignment horizontal="center"/>
    </xf>
    <xf numFmtId="14" fontId="93" fillId="25" borderId="19" xfId="0" applyNumberFormat="1" applyFont="1" applyFill="1" applyBorder="1" applyAlignment="1">
      <alignment horizontal="center"/>
    </xf>
    <xf numFmtId="167" fontId="36" fillId="25" borderId="18" xfId="1" applyNumberFormat="1" applyFont="1" applyFill="1" applyBorder="1"/>
    <xf numFmtId="167" fontId="36" fillId="7" borderId="21" xfId="1" applyNumberFormat="1" applyFont="1" applyFill="1" applyBorder="1"/>
    <xf numFmtId="0" fontId="17" fillId="24" borderId="0" xfId="0" applyFont="1" applyFill="1"/>
    <xf numFmtId="14" fontId="125" fillId="24" borderId="18" xfId="0" applyNumberFormat="1" applyFont="1" applyFill="1" applyBorder="1" applyAlignment="1">
      <alignment horizontal="center"/>
    </xf>
    <xf numFmtId="14" fontId="125" fillId="24" borderId="19" xfId="0" applyNumberFormat="1" applyFont="1" applyFill="1" applyBorder="1" applyAlignment="1">
      <alignment horizontal="center"/>
    </xf>
    <xf numFmtId="167" fontId="16" fillId="24" borderId="0" xfId="1" applyNumberFormat="1" applyFont="1" applyFill="1" applyBorder="1"/>
    <xf numFmtId="0" fontId="16" fillId="24" borderId="0" xfId="0" applyFont="1" applyFill="1"/>
    <xf numFmtId="167" fontId="16" fillId="24" borderId="19" xfId="1" applyNumberFormat="1" applyFont="1" applyFill="1" applyBorder="1"/>
    <xf numFmtId="167" fontId="26" fillId="24" borderId="0" xfId="1" applyNumberFormat="1" applyFont="1" applyFill="1" applyBorder="1"/>
    <xf numFmtId="3" fontId="16" fillId="24" borderId="0" xfId="1" applyNumberFormat="1" applyFont="1" applyFill="1" applyBorder="1"/>
    <xf numFmtId="167" fontId="26" fillId="24" borderId="61" xfId="1" applyNumberFormat="1" applyFont="1" applyFill="1" applyBorder="1"/>
    <xf numFmtId="169" fontId="16" fillId="24" borderId="0" xfId="1" quotePrefix="1" applyNumberFormat="1" applyFont="1" applyFill="1" applyBorder="1" applyAlignment="1">
      <alignment horizontal="center"/>
    </xf>
    <xf numFmtId="169" fontId="16" fillId="24" borderId="19" xfId="1" quotePrefix="1" applyNumberFormat="1" applyFont="1" applyFill="1" applyBorder="1" applyAlignment="1">
      <alignment horizontal="center"/>
    </xf>
    <xf numFmtId="168" fontId="16" fillId="24" borderId="51" xfId="0" applyNumberFormat="1" applyFont="1" applyFill="1" applyBorder="1"/>
    <xf numFmtId="167" fontId="16" fillId="24" borderId="0" xfId="1" applyNumberFormat="1" applyFont="1" applyFill="1" applyBorder="1" applyAlignment="1"/>
    <xf numFmtId="0" fontId="17" fillId="13" borderId="0" xfId="0" applyFont="1" applyFill="1"/>
    <xf numFmtId="0" fontId="93" fillId="24" borderId="0" xfId="0" applyNumberFormat="1" applyFont="1" applyFill="1" applyBorder="1" applyAlignment="1" applyProtection="1">
      <alignment horizontal="center"/>
    </xf>
    <xf numFmtId="169" fontId="126" fillId="24" borderId="19" xfId="1" quotePrefix="1" applyNumberFormat="1" applyFont="1" applyFill="1" applyBorder="1" applyAlignment="1">
      <alignment horizontal="center"/>
    </xf>
    <xf numFmtId="171" fontId="16" fillId="24" borderId="18" xfId="0" quotePrefix="1" applyNumberFormat="1" applyFont="1" applyFill="1" applyBorder="1" applyAlignment="1">
      <alignment horizontal="center"/>
    </xf>
    <xf numFmtId="171" fontId="16" fillId="24" borderId="19" xfId="0" quotePrefix="1" applyNumberFormat="1" applyFont="1" applyFill="1" applyBorder="1" applyAlignment="1">
      <alignment horizontal="center"/>
    </xf>
    <xf numFmtId="167" fontId="16" fillId="24" borderId="18" xfId="1" applyNumberFormat="1" applyFont="1" applyFill="1" applyBorder="1"/>
    <xf numFmtId="165" fontId="16" fillId="24" borderId="0" xfId="1" applyFont="1" applyFill="1" applyBorder="1"/>
    <xf numFmtId="169" fontId="16" fillId="24" borderId="18" xfId="1" quotePrefix="1" applyNumberFormat="1" applyFont="1" applyFill="1" applyBorder="1" applyAlignment="1">
      <alignment horizontal="center"/>
    </xf>
    <xf numFmtId="169" fontId="34" fillId="37" borderId="19" xfId="1" quotePrefix="1" applyNumberFormat="1" applyFont="1" applyFill="1" applyBorder="1" applyAlignment="1">
      <alignment horizontal="center"/>
    </xf>
    <xf numFmtId="165" fontId="45" fillId="0" borderId="0" xfId="1" applyFont="1" applyAlignment="1">
      <alignment vertical="center"/>
    </xf>
    <xf numFmtId="3" fontId="127" fillId="3" borderId="18" xfId="0" applyNumberFormat="1" applyFont="1" applyFill="1" applyBorder="1" applyAlignment="1">
      <alignment horizontal="center" wrapText="1"/>
    </xf>
    <xf numFmtId="0" fontId="128" fillId="0" borderId="0" xfId="0" applyFont="1"/>
    <xf numFmtId="0" fontId="129" fillId="0" borderId="0" xfId="0" applyFont="1"/>
    <xf numFmtId="0" fontId="132" fillId="0" borderId="0" xfId="0" applyFont="1" applyAlignment="1">
      <alignment wrapText="1"/>
    </xf>
    <xf numFmtId="0" fontId="133" fillId="0" borderId="1" xfId="0" applyFont="1" applyBorder="1" applyAlignment="1">
      <alignment vertical="center" wrapText="1"/>
    </xf>
    <xf numFmtId="0" fontId="133" fillId="0" borderId="5" xfId="0" applyFont="1" applyBorder="1" applyAlignment="1">
      <alignment vertical="center" wrapText="1"/>
    </xf>
    <xf numFmtId="0" fontId="7" fillId="8" borderId="1" xfId="0" applyFont="1" applyFill="1" applyBorder="1" applyAlignment="1">
      <alignment wrapText="1"/>
    </xf>
    <xf numFmtId="3" fontId="7" fillId="8" borderId="56" xfId="0" applyNumberFormat="1" applyFont="1" applyFill="1" applyBorder="1" applyAlignment="1">
      <alignment horizontal="center" vertical="center" wrapText="1"/>
    </xf>
    <xf numFmtId="0" fontId="7" fillId="38" borderId="9" xfId="0" applyFont="1" applyFill="1" applyBorder="1" applyAlignment="1">
      <alignment wrapText="1"/>
    </xf>
    <xf numFmtId="0" fontId="7" fillId="38" borderId="56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wrapText="1"/>
    </xf>
    <xf numFmtId="0" fontId="10" fillId="39" borderId="9" xfId="0" applyFont="1" applyFill="1" applyBorder="1" applyAlignment="1">
      <alignment wrapText="1"/>
    </xf>
    <xf numFmtId="3" fontId="10" fillId="39" borderId="56" xfId="0" applyNumberFormat="1" applyFont="1" applyFill="1" applyBorder="1" applyAlignment="1">
      <alignment horizontal="center" vertical="center" wrapText="1"/>
    </xf>
    <xf numFmtId="0" fontId="133" fillId="38" borderId="9" xfId="0" applyFont="1" applyFill="1" applyBorder="1" applyAlignment="1">
      <alignment wrapText="1"/>
    </xf>
    <xf numFmtId="0" fontId="132" fillId="0" borderId="0" xfId="0" applyFont="1" applyAlignment="1">
      <alignment vertical="center" wrapText="1"/>
    </xf>
    <xf numFmtId="167" fontId="34" fillId="24" borderId="18" xfId="1" applyNumberFormat="1" applyFont="1" applyFill="1" applyBorder="1"/>
    <xf numFmtId="167" fontId="34" fillId="24" borderId="0" xfId="1" applyNumberFormat="1" applyFont="1" applyFill="1" applyBorder="1"/>
    <xf numFmtId="167" fontId="34" fillId="24" borderId="19" xfId="1" applyNumberFormat="1" applyFont="1" applyFill="1" applyBorder="1"/>
    <xf numFmtId="167" fontId="82" fillId="24" borderId="0" xfId="1" applyNumberFormat="1" applyFont="1" applyFill="1" applyBorder="1"/>
    <xf numFmtId="169" fontId="34" fillId="24" borderId="18" xfId="1" quotePrefix="1" applyNumberFormat="1" applyFont="1" applyFill="1" applyBorder="1" applyAlignment="1">
      <alignment horizontal="center"/>
    </xf>
    <xf numFmtId="3" fontId="34" fillId="24" borderId="18" xfId="0" applyNumberFormat="1" applyFont="1" applyFill="1" applyBorder="1" applyAlignment="1">
      <alignment horizontal="center" wrapText="1"/>
    </xf>
    <xf numFmtId="3" fontId="34" fillId="24" borderId="0" xfId="0" applyNumberFormat="1" applyFont="1" applyFill="1" applyBorder="1" applyAlignment="1">
      <alignment horizontal="center" wrapText="1"/>
    </xf>
    <xf numFmtId="14" fontId="34" fillId="24" borderId="18" xfId="0" quotePrefix="1" applyNumberFormat="1" applyFont="1" applyFill="1" applyBorder="1" applyAlignment="1">
      <alignment horizontal="center"/>
    </xf>
    <xf numFmtId="14" fontId="34" fillId="24" borderId="19" xfId="0" quotePrefix="1" applyNumberFormat="1" applyFont="1" applyFill="1" applyBorder="1" applyAlignment="1">
      <alignment horizontal="center"/>
    </xf>
    <xf numFmtId="167" fontId="34" fillId="24" borderId="0" xfId="1" applyNumberFormat="1" applyFont="1" applyFill="1" applyBorder="1" applyAlignment="1"/>
    <xf numFmtId="165" fontId="34" fillId="24" borderId="0" xfId="1" applyFont="1" applyFill="1" applyBorder="1"/>
    <xf numFmtId="167" fontId="82" fillId="24" borderId="19" xfId="1" applyNumberFormat="1" applyFont="1" applyFill="1" applyBorder="1"/>
    <xf numFmtId="169" fontId="34" fillId="24" borderId="0" xfId="1" quotePrefix="1" applyNumberFormat="1" applyFont="1" applyFill="1" applyBorder="1" applyAlignment="1">
      <alignment horizontal="center"/>
    </xf>
    <xf numFmtId="175" fontId="97" fillId="0" borderId="0" xfId="1" applyNumberFormat="1" applyFont="1"/>
    <xf numFmtId="167" fontId="62" fillId="0" borderId="0" xfId="1" applyNumberFormat="1" applyFont="1"/>
    <xf numFmtId="176" fontId="2" fillId="0" borderId="0" xfId="0" applyNumberFormat="1" applyFont="1"/>
    <xf numFmtId="3" fontId="27" fillId="20" borderId="66" xfId="0" applyNumberFormat="1" applyFont="1" applyFill="1" applyBorder="1" applyAlignment="1">
      <alignment horizontal="left"/>
    </xf>
    <xf numFmtId="171" fontId="17" fillId="3" borderId="22" xfId="0" quotePrefix="1" applyNumberFormat="1" applyFont="1" applyFill="1" applyBorder="1" applyAlignment="1">
      <alignment horizontal="center"/>
    </xf>
    <xf numFmtId="3" fontId="34" fillId="24" borderId="0" xfId="0" applyNumberFormat="1" applyFont="1" applyFill="1" applyAlignment="1">
      <alignment horizontal="center" wrapText="1"/>
    </xf>
    <xf numFmtId="171" fontId="34" fillId="24" borderId="18" xfId="0" quotePrefix="1" applyNumberFormat="1" applyFont="1" applyFill="1" applyBorder="1" applyAlignment="1">
      <alignment horizontal="center"/>
    </xf>
    <xf numFmtId="171" fontId="34" fillId="24" borderId="19" xfId="0" quotePrefix="1" applyNumberFormat="1" applyFont="1" applyFill="1" applyBorder="1" applyAlignment="1">
      <alignment horizontal="center"/>
    </xf>
    <xf numFmtId="3" fontId="34" fillId="24" borderId="51" xfId="0" applyNumberFormat="1" applyFont="1" applyFill="1" applyBorder="1" applyAlignment="1">
      <alignment horizontal="left"/>
    </xf>
    <xf numFmtId="3" fontId="36" fillId="24" borderId="51" xfId="0" applyNumberFormat="1" applyFont="1" applyFill="1" applyBorder="1" applyAlignment="1">
      <alignment horizontal="left"/>
    </xf>
    <xf numFmtId="169" fontId="134" fillId="24" borderId="18" xfId="1" quotePrefix="1" applyNumberFormat="1" applyFont="1" applyFill="1" applyBorder="1" applyAlignment="1">
      <alignment horizontal="center"/>
    </xf>
    <xf numFmtId="169" fontId="109" fillId="24" borderId="19" xfId="1" quotePrefix="1" applyNumberFormat="1" applyFont="1" applyFill="1" applyBorder="1" applyAlignment="1">
      <alignment horizontal="center"/>
    </xf>
    <xf numFmtId="168" fontId="109" fillId="24" borderId="51" xfId="0" applyNumberFormat="1" applyFont="1" applyFill="1" applyBorder="1"/>
    <xf numFmtId="175" fontId="14" fillId="0" borderId="0" xfId="1" applyNumberFormat="1" applyFont="1" applyAlignment="1">
      <alignment vertical="center"/>
    </xf>
    <xf numFmtId="175" fontId="98" fillId="6" borderId="1" xfId="1" applyNumberFormat="1" applyFont="1" applyFill="1" applyBorder="1" applyAlignment="1">
      <alignment vertical="center" wrapText="1"/>
    </xf>
    <xf numFmtId="175" fontId="96" fillId="6" borderId="1" xfId="1" applyNumberFormat="1" applyFont="1" applyFill="1" applyBorder="1" applyAlignment="1">
      <alignment vertical="center"/>
    </xf>
    <xf numFmtId="175" fontId="99" fillId="0" borderId="0" xfId="1" applyNumberFormat="1" applyFont="1"/>
    <xf numFmtId="175" fontId="0" fillId="0" borderId="0" xfId="1" applyNumberFormat="1" applyFont="1"/>
    <xf numFmtId="175" fontId="96" fillId="13" borderId="1" xfId="0" applyNumberFormat="1" applyFont="1" applyFill="1" applyBorder="1" applyAlignment="1">
      <alignment vertical="center"/>
    </xf>
    <xf numFmtId="175" fontId="0" fillId="0" borderId="0" xfId="0" applyNumberFormat="1" applyAlignment="1">
      <alignment vertical="center"/>
    </xf>
    <xf numFmtId="175" fontId="98" fillId="6" borderId="1" xfId="0" applyNumberFormat="1" applyFont="1" applyFill="1" applyBorder="1" applyAlignment="1">
      <alignment vertical="center" wrapText="1"/>
    </xf>
    <xf numFmtId="175" fontId="96" fillId="6" borderId="1" xfId="0" applyNumberFormat="1" applyFont="1" applyFill="1" applyBorder="1" applyAlignment="1">
      <alignment vertical="center"/>
    </xf>
    <xf numFmtId="175" fontId="97" fillId="0" borderId="0" xfId="0" applyNumberFormat="1" applyFont="1"/>
    <xf numFmtId="175" fontId="0" fillId="0" borderId="0" xfId="0" applyNumberFormat="1"/>
    <xf numFmtId="175" fontId="99" fillId="0" borderId="0" xfId="0" applyNumberFormat="1" applyFont="1"/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7" fontId="69" fillId="7" borderId="21" xfId="1" applyNumberFormat="1" applyFont="1" applyFill="1" applyBorder="1"/>
    <xf numFmtId="167" fontId="17" fillId="7" borderId="22" xfId="1" applyNumberFormat="1" applyFont="1" applyFill="1" applyBorder="1"/>
    <xf numFmtId="167" fontId="70" fillId="7" borderId="20" xfId="1" applyNumberFormat="1" applyFont="1" applyFill="1" applyBorder="1"/>
    <xf numFmtId="167" fontId="70" fillId="7" borderId="22" xfId="1" applyNumberFormat="1" applyFont="1" applyFill="1" applyBorder="1"/>
    <xf numFmtId="0" fontId="3" fillId="0" borderId="71" xfId="0" applyFont="1" applyBorder="1" applyAlignment="1">
      <alignment horizontal="center"/>
    </xf>
    <xf numFmtId="0" fontId="3" fillId="0" borderId="72" xfId="0" applyFont="1" applyBorder="1" applyAlignment="1">
      <alignment horizontal="center"/>
    </xf>
    <xf numFmtId="170" fontId="4" fillId="2" borderId="78" xfId="0" quotePrefix="1" applyNumberFormat="1" applyFont="1" applyFill="1" applyBorder="1" applyAlignment="1">
      <alignment horizontal="center"/>
    </xf>
    <xf numFmtId="171" fontId="17" fillId="3" borderId="61" xfId="0" quotePrefix="1" applyNumberFormat="1" applyFont="1" applyFill="1" applyBorder="1" applyAlignment="1">
      <alignment horizontal="center"/>
    </xf>
    <xf numFmtId="170" fontId="4" fillId="2" borderId="61" xfId="0" quotePrefix="1" applyNumberFormat="1" applyFont="1" applyFill="1" applyBorder="1" applyAlignment="1">
      <alignment horizontal="center"/>
    </xf>
    <xf numFmtId="171" fontId="17" fillId="0" borderId="61" xfId="0" quotePrefix="1" applyNumberFormat="1" applyFont="1" applyBorder="1" applyAlignment="1">
      <alignment horizontal="center" vertical="center"/>
    </xf>
    <xf numFmtId="170" fontId="4" fillId="2" borderId="61" xfId="0" quotePrefix="1" applyNumberFormat="1" applyFont="1" applyFill="1" applyBorder="1" applyAlignment="1">
      <alignment horizontal="center" vertical="center"/>
    </xf>
    <xf numFmtId="171" fontId="17" fillId="3" borderId="61" xfId="0" quotePrefix="1" applyNumberFormat="1" applyFont="1" applyFill="1" applyBorder="1" applyAlignment="1">
      <alignment horizontal="center" vertical="center"/>
    </xf>
    <xf numFmtId="174" fontId="62" fillId="3" borderId="61" xfId="0" applyNumberFormat="1" applyFont="1" applyFill="1" applyBorder="1"/>
    <xf numFmtId="167" fontId="83" fillId="12" borderId="19" xfId="0" applyNumberFormat="1" applyFont="1" applyFill="1" applyBorder="1" applyAlignment="1">
      <alignment vertical="center"/>
    </xf>
    <xf numFmtId="167" fontId="34" fillId="0" borderId="19" xfId="1" applyNumberFormat="1" applyFont="1" applyBorder="1"/>
    <xf numFmtId="0" fontId="39" fillId="20" borderId="19" xfId="0" applyFont="1" applyFill="1" applyBorder="1" applyAlignment="1">
      <alignment horizontal="left"/>
    </xf>
    <xf numFmtId="167" fontId="84" fillId="20" borderId="48" xfId="1" applyNumberFormat="1" applyFont="1" applyFill="1" applyBorder="1" applyAlignment="1"/>
    <xf numFmtId="167" fontId="2" fillId="13" borderId="19" xfId="1" applyNumberFormat="1" applyFont="1" applyFill="1" applyBorder="1"/>
    <xf numFmtId="3" fontId="2" fillId="13" borderId="19" xfId="0" applyNumberFormat="1" applyFont="1" applyFill="1" applyBorder="1"/>
    <xf numFmtId="3" fontId="4" fillId="13" borderId="22" xfId="0" applyNumberFormat="1" applyFont="1" applyFill="1" applyBorder="1"/>
    <xf numFmtId="167" fontId="36" fillId="24" borderId="77" xfId="1" applyNumberFormat="1" applyFont="1" applyFill="1" applyBorder="1"/>
    <xf numFmtId="167" fontId="34" fillId="16" borderId="0" xfId="1" applyNumberFormat="1" applyFont="1" applyFill="1" applyBorder="1" applyAlignment="1"/>
    <xf numFmtId="167" fontId="17" fillId="16" borderId="19" xfId="1" applyNumberFormat="1" applyFont="1" applyFill="1" applyBorder="1"/>
    <xf numFmtId="166" fontId="7" fillId="38" borderId="56" xfId="0" applyNumberFormat="1" applyFont="1" applyFill="1" applyBorder="1" applyAlignment="1">
      <alignment horizontal="center" vertical="center" wrapText="1"/>
    </xf>
    <xf numFmtId="166" fontId="10" fillId="38" borderId="56" xfId="0" applyNumberFormat="1" applyFont="1" applyFill="1" applyBorder="1" applyAlignment="1">
      <alignment horizontal="center" vertical="center" wrapText="1"/>
    </xf>
    <xf numFmtId="177" fontId="7" fillId="38" borderId="56" xfId="0" applyNumberFormat="1" applyFont="1" applyFill="1" applyBorder="1" applyAlignment="1">
      <alignment horizontal="center" vertical="center" wrapText="1"/>
    </xf>
    <xf numFmtId="177" fontId="10" fillId="38" borderId="56" xfId="0" applyNumberFormat="1" applyFont="1" applyFill="1" applyBorder="1" applyAlignment="1">
      <alignment horizontal="center" vertical="center" wrapText="1"/>
    </xf>
    <xf numFmtId="0" fontId="13" fillId="33" borderId="40" xfId="0" applyFont="1" applyFill="1" applyBorder="1" applyAlignment="1">
      <alignment horizontal="left"/>
    </xf>
    <xf numFmtId="0" fontId="13" fillId="32" borderId="40" xfId="0" applyFont="1" applyFill="1" applyBorder="1" applyAlignment="1">
      <alignment horizontal="left"/>
    </xf>
    <xf numFmtId="0" fontId="31" fillId="32" borderId="40" xfId="0" applyFont="1" applyFill="1" applyBorder="1" applyAlignment="1">
      <alignment horizontal="left"/>
    </xf>
    <xf numFmtId="0" fontId="35" fillId="30" borderId="40" xfId="0" applyFont="1" applyFill="1" applyBorder="1" applyAlignment="1">
      <alignment horizontal="left" vertical="center"/>
    </xf>
    <xf numFmtId="0" fontId="13" fillId="34" borderId="40" xfId="0" applyFont="1" applyFill="1" applyBorder="1" applyAlignment="1">
      <alignment horizontal="left"/>
    </xf>
    <xf numFmtId="0" fontId="13" fillId="34" borderId="41" xfId="0" applyFont="1" applyFill="1" applyBorder="1"/>
    <xf numFmtId="0" fontId="13" fillId="34" borderId="41" xfId="0" applyFont="1" applyFill="1" applyBorder="1" applyAlignment="1">
      <alignment horizontal="left"/>
    </xf>
    <xf numFmtId="14" fontId="13" fillId="34" borderId="41" xfId="0" applyNumberFormat="1" applyFont="1" applyFill="1" applyBorder="1" applyAlignment="1">
      <alignment horizontal="left"/>
    </xf>
    <xf numFmtId="0" fontId="13" fillId="34" borderId="41" xfId="0" applyFont="1" applyFill="1" applyBorder="1" applyAlignment="1">
      <alignment horizontal="right"/>
    </xf>
    <xf numFmtId="167" fontId="13" fillId="34" borderId="41" xfId="1" applyNumberFormat="1" applyFont="1" applyFill="1" applyBorder="1" applyAlignment="1">
      <alignment horizontal="right"/>
    </xf>
    <xf numFmtId="167" fontId="13" fillId="34" borderId="42" xfId="1" applyNumberFormat="1" applyFont="1" applyFill="1" applyBorder="1"/>
    <xf numFmtId="0" fontId="13" fillId="34" borderId="42" xfId="0" applyFont="1" applyFill="1" applyBorder="1"/>
    <xf numFmtId="0" fontId="0" fillId="3" borderId="0" xfId="0" applyFill="1" applyAlignment="1">
      <alignment wrapText="1"/>
    </xf>
    <xf numFmtId="0" fontId="0" fillId="3" borderId="0" xfId="0" applyFill="1"/>
    <xf numFmtId="1" fontId="13" fillId="28" borderId="40" xfId="0" quotePrefix="1" applyNumberFormat="1" applyFont="1" applyFill="1" applyBorder="1" applyAlignment="1">
      <alignment horizontal="left"/>
    </xf>
    <xf numFmtId="0" fontId="31" fillId="34" borderId="40" xfId="0" applyFont="1" applyFill="1" applyBorder="1" applyAlignment="1">
      <alignment horizontal="left"/>
    </xf>
    <xf numFmtId="0" fontId="31" fillId="34" borderId="41" xfId="0" applyFont="1" applyFill="1" applyBorder="1"/>
    <xf numFmtId="14" fontId="31" fillId="34" borderId="41" xfId="0" applyNumberFormat="1" applyFont="1" applyFill="1" applyBorder="1" applyAlignment="1">
      <alignment horizontal="left"/>
    </xf>
    <xf numFmtId="167" fontId="31" fillId="34" borderId="41" xfId="1" applyNumberFormat="1" applyFont="1" applyFill="1" applyBorder="1"/>
    <xf numFmtId="0" fontId="31" fillId="34" borderId="42" xfId="0" applyFont="1" applyFill="1" applyBorder="1"/>
    <xf numFmtId="0" fontId="31" fillId="6" borderId="0" xfId="0" applyFont="1" applyFill="1"/>
    <xf numFmtId="167" fontId="31" fillId="34" borderId="42" xfId="1" applyNumberFormat="1" applyFont="1" applyFill="1" applyBorder="1"/>
    <xf numFmtId="0" fontId="42" fillId="3" borderId="0" xfId="0" applyFont="1" applyFill="1"/>
    <xf numFmtId="0" fontId="13" fillId="32" borderId="40" xfId="0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vertical="center"/>
    </xf>
    <xf numFmtId="0" fontId="13" fillId="32" borderId="41" xfId="0" applyFont="1" applyFill="1" applyBorder="1" applyAlignment="1">
      <alignment horizontal="left" vertical="center"/>
    </xf>
    <xf numFmtId="14" fontId="13" fillId="32" borderId="41" xfId="0" applyNumberFormat="1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horizontal="right" vertical="center"/>
    </xf>
    <xf numFmtId="167" fontId="13" fillId="32" borderId="41" xfId="1" applyNumberFormat="1" applyFont="1" applyFill="1" applyBorder="1" applyAlignment="1">
      <alignment horizontal="right" vertical="center"/>
    </xf>
    <xf numFmtId="167" fontId="31" fillId="32" borderId="42" xfId="1" applyNumberFormat="1" applyFont="1" applyFill="1" applyBorder="1" applyAlignment="1">
      <alignment vertical="center"/>
    </xf>
    <xf numFmtId="167" fontId="18" fillId="20" borderId="27" xfId="1" applyNumberFormat="1" applyFont="1" applyFill="1" applyBorder="1"/>
    <xf numFmtId="14" fontId="125" fillId="3" borderId="18" xfId="0" applyNumberFormat="1" applyFont="1" applyFill="1" applyBorder="1" applyAlignment="1">
      <alignment horizontal="center"/>
    </xf>
    <xf numFmtId="14" fontId="125" fillId="3" borderId="19" xfId="0" applyNumberFormat="1" applyFont="1" applyFill="1" applyBorder="1" applyAlignment="1">
      <alignment horizontal="center"/>
    </xf>
    <xf numFmtId="167" fontId="89" fillId="17" borderId="0" xfId="1" applyNumberFormat="1" applyFont="1" applyFill="1" applyBorder="1"/>
    <xf numFmtId="167" fontId="89" fillId="17" borderId="0" xfId="1" applyNumberFormat="1" applyFont="1" applyFill="1" applyBorder="1" applyAlignment="1"/>
    <xf numFmtId="167" fontId="95" fillId="17" borderId="0" xfId="1" applyNumberFormat="1" applyFont="1" applyFill="1" applyBorder="1"/>
    <xf numFmtId="3" fontId="89" fillId="7" borderId="0" xfId="0" applyNumberFormat="1" applyFont="1" applyFill="1" applyAlignment="1">
      <alignment horizontal="left"/>
    </xf>
    <xf numFmtId="0" fontId="135" fillId="24" borderId="27" xfId="0" applyFont="1" applyFill="1" applyBorder="1" applyAlignment="1">
      <alignment horizontal="center"/>
    </xf>
    <xf numFmtId="167" fontId="36" fillId="7" borderId="53" xfId="1" applyNumberFormat="1" applyFont="1" applyFill="1" applyBorder="1"/>
    <xf numFmtId="169" fontId="69" fillId="24" borderId="18" xfId="1" quotePrefix="1" applyNumberFormat="1" applyFont="1" applyFill="1" applyBorder="1" applyAlignment="1">
      <alignment horizontal="center"/>
    </xf>
    <xf numFmtId="169" fontId="69" fillId="24" borderId="19" xfId="1" quotePrefix="1" applyNumberFormat="1" applyFont="1" applyFill="1" applyBorder="1" applyAlignment="1">
      <alignment horizontal="center"/>
    </xf>
    <xf numFmtId="168" fontId="69" fillId="24" borderId="51" xfId="0" applyNumberFormat="1" applyFont="1" applyFill="1" applyBorder="1"/>
    <xf numFmtId="169" fontId="17" fillId="24" borderId="77" xfId="1" quotePrefix="1" applyNumberFormat="1" applyFont="1" applyFill="1" applyBorder="1" applyAlignment="1">
      <alignment horizontal="center"/>
    </xf>
    <xf numFmtId="3" fontId="17" fillId="24" borderId="22" xfId="0" applyNumberFormat="1" applyFont="1" applyFill="1" applyBorder="1" applyAlignment="1">
      <alignment horizontal="center" wrapText="1"/>
    </xf>
    <xf numFmtId="167" fontId="17" fillId="24" borderId="22" xfId="1" applyNumberFormat="1" applyFont="1" applyFill="1" applyBorder="1"/>
    <xf numFmtId="167" fontId="95" fillId="24" borderId="0" xfId="1" applyNumberFormat="1" applyFont="1" applyFill="1" applyBorder="1"/>
    <xf numFmtId="167" fontId="26" fillId="24" borderId="53" xfId="1" applyNumberFormat="1" applyFont="1" applyFill="1" applyBorder="1"/>
    <xf numFmtId="167" fontId="16" fillId="24" borderId="22" xfId="1" applyNumberFormat="1" applyFont="1" applyFill="1" applyBorder="1"/>
    <xf numFmtId="167" fontId="16" fillId="24" borderId="21" xfId="1" applyNumberFormat="1" applyFont="1" applyFill="1" applyBorder="1"/>
    <xf numFmtId="167" fontId="36" fillId="24" borderId="21" xfId="1" applyNumberFormat="1" applyFont="1" applyFill="1" applyBorder="1"/>
    <xf numFmtId="3" fontId="20" fillId="24" borderId="18" xfId="0" applyNumberFormat="1" applyFont="1" applyFill="1" applyBorder="1" applyAlignment="1">
      <alignment horizontal="center" wrapText="1"/>
    </xf>
    <xf numFmtId="167" fontId="36" fillId="24" borderId="18" xfId="1" applyNumberFormat="1" applyFont="1" applyFill="1" applyBorder="1"/>
    <xf numFmtId="0" fontId="135" fillId="12" borderId="27" xfId="0" applyFont="1" applyFill="1" applyBorder="1" applyAlignment="1">
      <alignment horizontal="center"/>
    </xf>
    <xf numFmtId="3" fontId="84" fillId="20" borderId="27" xfId="1" applyNumberFormat="1" applyFont="1" applyFill="1" applyBorder="1"/>
    <xf numFmtId="0" fontId="135" fillId="25" borderId="27" xfId="0" applyFont="1" applyFill="1" applyBorder="1" applyAlignment="1">
      <alignment horizontal="center"/>
    </xf>
    <xf numFmtId="14" fontId="93" fillId="24" borderId="20" xfId="0" applyNumberFormat="1" applyFont="1" applyFill="1" applyBorder="1" applyAlignment="1">
      <alignment horizontal="center"/>
    </xf>
    <xf numFmtId="14" fontId="93" fillId="24" borderId="22" xfId="0" applyNumberFormat="1" applyFont="1" applyFill="1" applyBorder="1" applyAlignment="1">
      <alignment horizontal="center"/>
    </xf>
    <xf numFmtId="167" fontId="36" fillId="24" borderId="68" xfId="1" applyNumberFormat="1" applyFont="1" applyFill="1" applyBorder="1"/>
    <xf numFmtId="171" fontId="16" fillId="24" borderId="0" xfId="0" quotePrefix="1" applyNumberFormat="1" applyFont="1" applyFill="1" applyAlignment="1">
      <alignment horizontal="center"/>
    </xf>
    <xf numFmtId="167" fontId="26" fillId="24" borderId="19" xfId="1" applyNumberFormat="1" applyFont="1" applyFill="1" applyBorder="1"/>
    <xf numFmtId="3" fontId="16" fillId="24" borderId="65" xfId="0" applyNumberFormat="1" applyFont="1" applyFill="1" applyBorder="1"/>
    <xf numFmtId="169" fontId="17" fillId="24" borderId="46" xfId="1" quotePrefix="1" applyNumberFormat="1" applyFont="1" applyFill="1" applyBorder="1" applyAlignment="1">
      <alignment horizontal="center"/>
    </xf>
    <xf numFmtId="3" fontId="17" fillId="24" borderId="20" xfId="0" applyNumberFormat="1" applyFont="1" applyFill="1" applyBorder="1" applyAlignment="1">
      <alignment horizontal="center" wrapText="1"/>
    </xf>
    <xf numFmtId="0" fontId="130" fillId="0" borderId="0" xfId="0" applyFont="1" applyAlignment="1">
      <alignment vertical="center" wrapText="1"/>
    </xf>
    <xf numFmtId="0" fontId="130" fillId="0" borderId="0" xfId="0" applyFont="1" applyAlignment="1">
      <alignment vertical="center"/>
    </xf>
    <xf numFmtId="0" fontId="136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0" fillId="6" borderId="1" xfId="0" applyFill="1" applyBorder="1" applyAlignment="1">
      <alignment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167" fontId="0" fillId="0" borderId="0" xfId="0" applyNumberFormat="1" applyAlignment="1">
      <alignment horizontal="center"/>
    </xf>
    <xf numFmtId="167" fontId="0" fillId="0" borderId="0" xfId="1" applyNumberFormat="1" applyFont="1" applyFill="1" applyAlignment="1">
      <alignment horizontal="center"/>
    </xf>
    <xf numFmtId="167" fontId="9" fillId="0" borderId="0" xfId="0" applyNumberFormat="1" applyFont="1" applyAlignment="1">
      <alignment horizontal="center"/>
    </xf>
    <xf numFmtId="3" fontId="0" fillId="0" borderId="0" xfId="0" applyNumberFormat="1" applyAlignment="1">
      <alignment vertical="center"/>
    </xf>
    <xf numFmtId="3" fontId="10" fillId="0" borderId="0" xfId="0" applyNumberFormat="1" applyFont="1" applyBorder="1"/>
    <xf numFmtId="0" fontId="10" fillId="0" borderId="0" xfId="0" applyFont="1" applyBorder="1"/>
    <xf numFmtId="3" fontId="60" fillId="0" borderId="0" xfId="0" applyNumberFormat="1" applyFont="1" applyBorder="1"/>
    <xf numFmtId="0" fontId="140" fillId="0" borderId="0" xfId="0" applyFont="1" applyAlignment="1">
      <alignment vertical="center"/>
    </xf>
    <xf numFmtId="0" fontId="0" fillId="3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0" fontId="3" fillId="42" borderId="1" xfId="0" applyFont="1" applyFill="1" applyBorder="1" applyAlignment="1">
      <alignment wrapText="1"/>
    </xf>
    <xf numFmtId="0" fontId="3" fillId="42" borderId="1" xfId="0" applyFont="1" applyFill="1" applyBorder="1"/>
    <xf numFmtId="0" fontId="0" fillId="42" borderId="1" xfId="0" applyFill="1" applyBorder="1" applyAlignment="1">
      <alignment wrapText="1"/>
    </xf>
    <xf numFmtId="0" fontId="0" fillId="42" borderId="1" xfId="0" applyFill="1" applyBorder="1"/>
    <xf numFmtId="0" fontId="0" fillId="16" borderId="1" xfId="0" applyFill="1" applyBorder="1" applyAlignment="1">
      <alignment horizontal="center"/>
    </xf>
    <xf numFmtId="3" fontId="0" fillId="16" borderId="1" xfId="0" applyNumberForma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 vertical="center" wrapText="1"/>
    </xf>
    <xf numFmtId="0" fontId="79" fillId="43" borderId="1" xfId="0" applyFont="1" applyFill="1" applyBorder="1" applyAlignment="1">
      <alignment horizontal="center"/>
    </xf>
    <xf numFmtId="0" fontId="0" fillId="43" borderId="1" xfId="0" applyFill="1" applyBorder="1" applyAlignment="1">
      <alignment horizontal="center"/>
    </xf>
    <xf numFmtId="3" fontId="0" fillId="43" borderId="1" xfId="0" applyNumberFormat="1" applyFill="1" applyBorder="1" applyAlignment="1">
      <alignment horizontal="center"/>
    </xf>
    <xf numFmtId="0" fontId="0" fillId="43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139" fillId="41" borderId="79" xfId="4"/>
    <xf numFmtId="0" fontId="139" fillId="41" borderId="79" xfId="4" applyAlignment="1">
      <alignment horizontal="center"/>
    </xf>
    <xf numFmtId="0" fontId="0" fillId="44" borderId="1" xfId="0" applyFill="1" applyBorder="1"/>
    <xf numFmtId="0" fontId="0" fillId="44" borderId="1" xfId="0" applyFill="1" applyBorder="1" applyAlignment="1">
      <alignment horizontal="center"/>
    </xf>
    <xf numFmtId="0" fontId="141" fillId="42" borderId="1" xfId="0" applyFont="1" applyFill="1" applyBorder="1" applyAlignment="1">
      <alignment horizontal="left"/>
    </xf>
    <xf numFmtId="0" fontId="4" fillId="42" borderId="1" xfId="0" applyFont="1" applyFill="1" applyBorder="1" applyAlignment="1">
      <alignment horizontal="center"/>
    </xf>
    <xf numFmtId="3" fontId="4" fillId="42" borderId="1" xfId="0" applyNumberFormat="1" applyFont="1" applyFill="1" applyBorder="1" applyAlignment="1">
      <alignment horizontal="center"/>
    </xf>
    <xf numFmtId="0" fontId="4" fillId="42" borderId="1" xfId="0" applyFont="1" applyFill="1" applyBorder="1"/>
    <xf numFmtId="3" fontId="0" fillId="2" borderId="1" xfId="0" applyNumberFormat="1" applyFill="1" applyBorder="1"/>
    <xf numFmtId="0" fontId="76" fillId="27" borderId="1" xfId="0" applyFont="1" applyFill="1" applyBorder="1"/>
    <xf numFmtId="3" fontId="76" fillId="27" borderId="1" xfId="0" applyNumberFormat="1" applyFont="1" applyFill="1" applyBorder="1" applyAlignment="1">
      <alignment wrapText="1"/>
    </xf>
    <xf numFmtId="0" fontId="76" fillId="27" borderId="1" xfId="0" applyFont="1" applyFill="1" applyBorder="1" applyAlignment="1">
      <alignment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0" fillId="0" borderId="1" xfId="0" applyBorder="1" applyAlignment="1">
      <alignment horizontal="center"/>
    </xf>
    <xf numFmtId="0" fontId="76" fillId="44" borderId="1" xfId="0" applyFont="1" applyFill="1" applyBorder="1"/>
    <xf numFmtId="3" fontId="76" fillId="44" borderId="1" xfId="0" applyNumberFormat="1" applyFont="1" applyFill="1" applyBorder="1" applyAlignment="1">
      <alignment horizontal="center"/>
    </xf>
    <xf numFmtId="3" fontId="76" fillId="44" borderId="1" xfId="0" applyNumberFormat="1" applyFont="1" applyFill="1" applyBorder="1"/>
    <xf numFmtId="0" fontId="39" fillId="0" borderId="0" xfId="0" applyFont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0" fillId="13" borderId="32" xfId="0" applyFont="1" applyFill="1" applyBorder="1" applyAlignment="1">
      <alignment horizontal="center" wrapText="1"/>
    </xf>
    <xf numFmtId="0" fontId="20" fillId="13" borderId="33" xfId="0" applyFont="1" applyFill="1" applyBorder="1" applyAlignment="1">
      <alignment horizontal="center" wrapText="1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20" fillId="13" borderId="23" xfId="0" applyFont="1" applyFill="1" applyBorder="1" applyAlignment="1">
      <alignment horizontal="center" vertical="center"/>
    </xf>
    <xf numFmtId="0" fontId="20" fillId="13" borderId="36" xfId="0" applyFont="1" applyFill="1" applyBorder="1" applyAlignment="1">
      <alignment horizontal="center" vertical="center"/>
    </xf>
    <xf numFmtId="0" fontId="20" fillId="13" borderId="29" xfId="0" applyFont="1" applyFill="1" applyBorder="1" applyAlignment="1">
      <alignment horizontal="center" vertical="center" wrapText="1"/>
    </xf>
    <xf numFmtId="0" fontId="20" fillId="13" borderId="46" xfId="0" applyFont="1" applyFill="1" applyBorder="1" applyAlignment="1">
      <alignment horizontal="center" vertical="center" wrapText="1"/>
    </xf>
    <xf numFmtId="0" fontId="20" fillId="8" borderId="23" xfId="0" applyFont="1" applyFill="1" applyBorder="1" applyAlignment="1">
      <alignment horizontal="center" vertical="center" wrapText="1"/>
    </xf>
    <xf numFmtId="0" fontId="20" fillId="8" borderId="36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/>
    </xf>
    <xf numFmtId="0" fontId="20" fillId="7" borderId="4" xfId="0" applyFont="1" applyFill="1" applyBorder="1" applyAlignment="1">
      <alignment horizontal="center"/>
    </xf>
    <xf numFmtId="0" fontId="20" fillId="7" borderId="5" xfId="0" applyFont="1" applyFill="1" applyBorder="1" applyAlignment="1">
      <alignment horizontal="center"/>
    </xf>
    <xf numFmtId="0" fontId="20" fillId="7" borderId="55" xfId="0" applyFont="1" applyFill="1" applyBorder="1" applyAlignment="1">
      <alignment horizontal="center" vertical="center" wrapText="1"/>
    </xf>
    <xf numFmtId="0" fontId="20" fillId="7" borderId="57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/>
    </xf>
    <xf numFmtId="0" fontId="20" fillId="8" borderId="4" xfId="0" applyFont="1" applyFill="1" applyBorder="1" applyAlignment="1">
      <alignment horizontal="center"/>
    </xf>
    <xf numFmtId="0" fontId="20" fillId="8" borderId="5" xfId="0" applyFont="1" applyFill="1" applyBorder="1" applyAlignment="1">
      <alignment horizontal="center"/>
    </xf>
    <xf numFmtId="0" fontId="11" fillId="0" borderId="3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7" fillId="7" borderId="32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7" fillId="8" borderId="32" xfId="0" applyFont="1" applyFill="1" applyBorder="1" applyAlignment="1">
      <alignment horizontal="center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8" borderId="34" xfId="0" applyFont="1" applyFill="1" applyBorder="1" applyAlignment="1">
      <alignment horizontal="center" vertical="center" wrapText="1"/>
    </xf>
    <xf numFmtId="3" fontId="100" fillId="0" borderId="31" xfId="0" applyNumberFormat="1" applyFont="1" applyBorder="1" applyAlignment="1">
      <alignment horizontal="left"/>
    </xf>
    <xf numFmtId="175" fontId="97" fillId="0" borderId="0" xfId="1" applyNumberFormat="1" applyFont="1" applyAlignment="1">
      <alignment horizontal="center" vertical="center"/>
    </xf>
    <xf numFmtId="175" fontId="97" fillId="0" borderId="30" xfId="0" applyNumberFormat="1" applyFont="1" applyBorder="1" applyAlignment="1">
      <alignment horizontal="center" vertical="center"/>
    </xf>
    <xf numFmtId="175" fontId="97" fillId="0" borderId="0" xfId="0" applyNumberFormat="1" applyFont="1" applyAlignment="1">
      <alignment horizontal="center" vertical="center"/>
    </xf>
    <xf numFmtId="3" fontId="15" fillId="6" borderId="3" xfId="0" applyNumberFormat="1" applyFont="1" applyFill="1" applyBorder="1" applyAlignment="1">
      <alignment horizontal="center"/>
    </xf>
    <xf numFmtId="3" fontId="15" fillId="6" borderId="4" xfId="0" applyNumberFormat="1" applyFont="1" applyFill="1" applyBorder="1" applyAlignment="1">
      <alignment horizontal="center"/>
    </xf>
    <xf numFmtId="3" fontId="15" fillId="6" borderId="5" xfId="0" applyNumberFormat="1" applyFont="1" applyFill="1" applyBorder="1" applyAlignment="1">
      <alignment horizontal="center"/>
    </xf>
    <xf numFmtId="3" fontId="96" fillId="6" borderId="3" xfId="0" applyNumberFormat="1" applyFont="1" applyFill="1" applyBorder="1" applyAlignment="1">
      <alignment horizontal="center" vertical="center"/>
    </xf>
    <xf numFmtId="3" fontId="96" fillId="6" borderId="4" xfId="0" applyNumberFormat="1" applyFont="1" applyFill="1" applyBorder="1" applyAlignment="1">
      <alignment horizontal="center" vertical="center"/>
    </xf>
    <xf numFmtId="3" fontId="96" fillId="6" borderId="5" xfId="0" applyNumberFormat="1" applyFont="1" applyFill="1" applyBorder="1" applyAlignment="1">
      <alignment horizontal="center" vertical="center"/>
    </xf>
    <xf numFmtId="175" fontId="96" fillId="6" borderId="3" xfId="0" applyNumberFormat="1" applyFont="1" applyFill="1" applyBorder="1" applyAlignment="1">
      <alignment horizontal="center" vertical="center"/>
    </xf>
    <xf numFmtId="175" fontId="96" fillId="6" borderId="4" xfId="0" applyNumberFormat="1" applyFont="1" applyFill="1" applyBorder="1" applyAlignment="1">
      <alignment horizontal="center" vertical="center"/>
    </xf>
    <xf numFmtId="175" fontId="96" fillId="6" borderId="5" xfId="0" applyNumberFormat="1" applyFont="1" applyFill="1" applyBorder="1" applyAlignment="1">
      <alignment horizontal="center" vertical="center"/>
    </xf>
    <xf numFmtId="3" fontId="15" fillId="13" borderId="3" xfId="0" applyNumberFormat="1" applyFont="1" applyFill="1" applyBorder="1" applyAlignment="1">
      <alignment horizontal="center"/>
    </xf>
    <xf numFmtId="3" fontId="15" fillId="13" borderId="4" xfId="0" applyNumberFormat="1" applyFont="1" applyFill="1" applyBorder="1" applyAlignment="1">
      <alignment horizontal="center"/>
    </xf>
    <xf numFmtId="3" fontId="15" fillId="13" borderId="5" xfId="0" applyNumberFormat="1" applyFont="1" applyFill="1" applyBorder="1" applyAlignment="1">
      <alignment horizontal="center"/>
    </xf>
    <xf numFmtId="3" fontId="96" fillId="13" borderId="3" xfId="0" applyNumberFormat="1" applyFont="1" applyFill="1" applyBorder="1" applyAlignment="1">
      <alignment horizontal="center" vertical="center"/>
    </xf>
    <xf numFmtId="3" fontId="96" fillId="13" borderId="4" xfId="0" applyNumberFormat="1" applyFont="1" applyFill="1" applyBorder="1" applyAlignment="1">
      <alignment horizontal="center" vertical="center"/>
    </xf>
    <xf numFmtId="3" fontId="96" fillId="13" borderId="5" xfId="0" applyNumberFormat="1" applyFont="1" applyFill="1" applyBorder="1" applyAlignment="1">
      <alignment horizontal="center" vertical="center"/>
    </xf>
    <xf numFmtId="175" fontId="96" fillId="13" borderId="3" xfId="0" applyNumberFormat="1" applyFont="1" applyFill="1" applyBorder="1" applyAlignment="1">
      <alignment horizontal="center" vertical="center"/>
    </xf>
    <xf numFmtId="175" fontId="96" fillId="13" borderId="4" xfId="0" applyNumberFormat="1" applyFont="1" applyFill="1" applyBorder="1" applyAlignment="1">
      <alignment horizontal="center" vertical="center"/>
    </xf>
    <xf numFmtId="175" fontId="96" fillId="13" borderId="5" xfId="0" applyNumberFormat="1" applyFont="1" applyFill="1" applyBorder="1" applyAlignment="1">
      <alignment horizontal="center" vertical="center"/>
    </xf>
    <xf numFmtId="175" fontId="97" fillId="0" borderId="30" xfId="1" applyNumberFormat="1" applyFont="1" applyBorder="1" applyAlignment="1">
      <alignment horizontal="center" vertical="center"/>
    </xf>
    <xf numFmtId="175" fontId="96" fillId="6" borderId="3" xfId="1" applyNumberFormat="1" applyFont="1" applyFill="1" applyBorder="1" applyAlignment="1">
      <alignment horizontal="center" vertical="center"/>
    </xf>
    <xf numFmtId="175" fontId="96" fillId="6" borderId="4" xfId="1" applyNumberFormat="1" applyFont="1" applyFill="1" applyBorder="1" applyAlignment="1">
      <alignment horizontal="center" vertical="center"/>
    </xf>
    <xf numFmtId="175" fontId="96" fillId="6" borderId="5" xfId="1" applyNumberFormat="1" applyFont="1" applyFill="1" applyBorder="1" applyAlignment="1">
      <alignment horizontal="center" vertical="center"/>
    </xf>
    <xf numFmtId="3" fontId="45" fillId="0" borderId="0" xfId="0" applyNumberFormat="1" applyFont="1" applyAlignment="1">
      <alignment horizontal="center" vertical="center"/>
    </xf>
    <xf numFmtId="3" fontId="77" fillId="14" borderId="31" xfId="0" applyNumberFormat="1" applyFont="1" applyFill="1" applyBorder="1" applyAlignment="1">
      <alignment horizontal="left"/>
    </xf>
    <xf numFmtId="3" fontId="39" fillId="14" borderId="31" xfId="0" applyNumberFormat="1" applyFont="1" applyFill="1" applyBorder="1" applyAlignment="1">
      <alignment horizontal="left"/>
    </xf>
    <xf numFmtId="3" fontId="8" fillId="0" borderId="31" xfId="0" applyNumberFormat="1" applyFont="1" applyBorder="1" applyAlignment="1">
      <alignment horizontal="left"/>
    </xf>
    <xf numFmtId="0" fontId="48" fillId="14" borderId="0" xfId="0" applyFont="1" applyFill="1" applyAlignment="1">
      <alignment horizontal="left"/>
    </xf>
    <xf numFmtId="0" fontId="3" fillId="5" borderId="50" xfId="0" applyFont="1" applyFill="1" applyBorder="1" applyAlignment="1">
      <alignment horizontal="center" vertical="center"/>
    </xf>
    <xf numFmtId="0" fontId="3" fillId="5" borderId="52" xfId="0" applyFont="1" applyFill="1" applyBorder="1" applyAlignment="1">
      <alignment horizontal="center" vertical="center"/>
    </xf>
    <xf numFmtId="0" fontId="39" fillId="20" borderId="26" xfId="0" applyFont="1" applyFill="1" applyBorder="1" applyAlignment="1">
      <alignment horizontal="center"/>
    </xf>
    <xf numFmtId="0" fontId="39" fillId="20" borderId="27" xfId="0" applyFont="1" applyFill="1" applyBorder="1" applyAlignment="1">
      <alignment horizontal="center"/>
    </xf>
    <xf numFmtId="0" fontId="39" fillId="20" borderId="48" xfId="0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3" fontId="8" fillId="0" borderId="17" xfId="0" applyNumberFormat="1" applyFont="1" applyBorder="1" applyAlignment="1">
      <alignment horizontal="center" wrapText="1"/>
    </xf>
    <xf numFmtId="3" fontId="8" fillId="0" borderId="22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55" fillId="0" borderId="16" xfId="0" applyNumberFormat="1" applyFont="1" applyBorder="1" applyAlignment="1">
      <alignment horizontal="center" vertical="center" wrapText="1"/>
    </xf>
    <xf numFmtId="3" fontId="55" fillId="0" borderId="2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7" fontId="120" fillId="6" borderId="3" xfId="0" applyNumberFormat="1" applyFont="1" applyFill="1" applyBorder="1" applyAlignment="1">
      <alignment horizontal="center" vertical="center"/>
    </xf>
    <xf numFmtId="167" fontId="120" fillId="6" borderId="4" xfId="0" applyNumberFormat="1" applyFont="1" applyFill="1" applyBorder="1" applyAlignment="1">
      <alignment horizontal="center" vertical="center"/>
    </xf>
    <xf numFmtId="167" fontId="120" fillId="6" borderId="5" xfId="0" applyNumberFormat="1" applyFont="1" applyFill="1" applyBorder="1" applyAlignment="1">
      <alignment horizontal="center" vertical="center"/>
    </xf>
    <xf numFmtId="3" fontId="120" fillId="6" borderId="3" xfId="0" applyNumberFormat="1" applyFont="1" applyFill="1" applyBorder="1" applyAlignment="1">
      <alignment horizontal="center" vertical="center"/>
    </xf>
    <xf numFmtId="3" fontId="120" fillId="6" borderId="4" xfId="0" applyNumberFormat="1" applyFont="1" applyFill="1" applyBorder="1" applyAlignment="1">
      <alignment horizontal="center" vertical="center"/>
    </xf>
    <xf numFmtId="3" fontId="120" fillId="6" borderId="5" xfId="0" applyNumberFormat="1" applyFont="1" applyFill="1" applyBorder="1" applyAlignment="1">
      <alignment horizontal="center" vertical="center"/>
    </xf>
    <xf numFmtId="3" fontId="18" fillId="0" borderId="15" xfId="0" applyNumberFormat="1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117" fillId="6" borderId="3" xfId="0" applyNumberFormat="1" applyFont="1" applyFill="1" applyBorder="1" applyAlignment="1">
      <alignment horizontal="center" vertical="center"/>
    </xf>
    <xf numFmtId="3" fontId="117" fillId="6" borderId="4" xfId="0" applyNumberFormat="1" applyFont="1" applyFill="1" applyBorder="1" applyAlignment="1">
      <alignment horizontal="center" vertical="center"/>
    </xf>
    <xf numFmtId="3" fontId="117" fillId="6" borderId="5" xfId="0" applyNumberFormat="1" applyFont="1" applyFill="1" applyBorder="1" applyAlignment="1">
      <alignment horizontal="center" vertical="center"/>
    </xf>
    <xf numFmtId="166" fontId="63" fillId="17" borderId="15" xfId="0" applyNumberFormat="1" applyFont="1" applyFill="1" applyBorder="1" applyAlignment="1">
      <alignment horizontal="center" vertical="center" wrapText="1"/>
    </xf>
    <xf numFmtId="166" fontId="63" fillId="17" borderId="16" xfId="0" applyNumberFormat="1" applyFont="1" applyFill="1" applyBorder="1" applyAlignment="1">
      <alignment horizontal="center" vertical="center" wrapText="1"/>
    </xf>
    <xf numFmtId="166" fontId="63" fillId="17" borderId="20" xfId="0" applyNumberFormat="1" applyFont="1" applyFill="1" applyBorder="1" applyAlignment="1">
      <alignment horizontal="center" vertical="center" wrapText="1"/>
    </xf>
    <xf numFmtId="166" fontId="63" fillId="17" borderId="21" xfId="0" applyNumberFormat="1" applyFont="1" applyFill="1" applyBorder="1" applyAlignment="1">
      <alignment horizontal="center" vertical="center" wrapText="1"/>
    </xf>
    <xf numFmtId="0" fontId="68" fillId="17" borderId="16" xfId="0" applyFont="1" applyFill="1" applyBorder="1" applyAlignment="1">
      <alignment horizontal="center" vertical="center" wrapText="1"/>
    </xf>
    <xf numFmtId="0" fontId="68" fillId="17" borderId="21" xfId="0" applyFont="1" applyFill="1" applyBorder="1" applyAlignment="1">
      <alignment horizontal="center" vertical="center" wrapText="1"/>
    </xf>
    <xf numFmtId="0" fontId="107" fillId="3" borderId="18" xfId="0" applyFont="1" applyFill="1" applyBorder="1" applyAlignment="1">
      <alignment horizontal="center" vertical="center" wrapText="1"/>
    </xf>
    <xf numFmtId="0" fontId="107" fillId="3" borderId="0" xfId="0" applyFont="1" applyFill="1" applyAlignment="1">
      <alignment horizontal="center" vertical="center" wrapText="1"/>
    </xf>
    <xf numFmtId="166" fontId="63" fillId="7" borderId="15" xfId="0" applyNumberFormat="1" applyFont="1" applyFill="1" applyBorder="1" applyAlignment="1">
      <alignment horizontal="center" vertical="center" wrapText="1"/>
    </xf>
    <xf numFmtId="166" fontId="63" fillId="7" borderId="16" xfId="0" applyNumberFormat="1" applyFont="1" applyFill="1" applyBorder="1" applyAlignment="1">
      <alignment horizontal="center" vertical="center" wrapText="1"/>
    </xf>
    <xf numFmtId="166" fontId="63" fillId="7" borderId="18" xfId="0" applyNumberFormat="1" applyFont="1" applyFill="1" applyBorder="1" applyAlignment="1">
      <alignment horizontal="center" vertical="center" wrapText="1"/>
    </xf>
    <xf numFmtId="166" fontId="63" fillId="7" borderId="0" xfId="0" applyNumberFormat="1" applyFont="1" applyFill="1" applyAlignment="1">
      <alignment horizontal="center" vertical="center" wrapText="1"/>
    </xf>
    <xf numFmtId="0" fontId="68" fillId="7" borderId="16" xfId="0" applyFont="1" applyFill="1" applyBorder="1" applyAlignment="1">
      <alignment horizontal="center" vertical="center" wrapText="1"/>
    </xf>
    <xf numFmtId="0" fontId="68" fillId="7" borderId="21" xfId="0" applyFont="1" applyFill="1" applyBorder="1" applyAlignment="1">
      <alignment horizontal="center" vertical="center" wrapText="1"/>
    </xf>
    <xf numFmtId="0" fontId="20" fillId="7" borderId="50" xfId="0" applyFont="1" applyFill="1" applyBorder="1" applyAlignment="1">
      <alignment horizontal="center" vertical="center"/>
    </xf>
    <xf numFmtId="0" fontId="20" fillId="7" borderId="52" xfId="0" applyFont="1" applyFill="1" applyBorder="1" applyAlignment="1">
      <alignment horizontal="center" vertical="center"/>
    </xf>
    <xf numFmtId="0" fontId="68" fillId="7" borderId="15" xfId="0" applyFont="1" applyFill="1" applyBorder="1" applyAlignment="1">
      <alignment horizontal="center" vertical="center" wrapText="1"/>
    </xf>
    <xf numFmtId="0" fontId="68" fillId="7" borderId="20" xfId="0" applyFont="1" applyFill="1" applyBorder="1" applyAlignment="1">
      <alignment horizontal="center" vertical="center" wrapText="1"/>
    </xf>
    <xf numFmtId="3" fontId="18" fillId="7" borderId="16" xfId="0" applyNumberFormat="1" applyFont="1" applyFill="1" applyBorder="1" applyAlignment="1">
      <alignment horizontal="center" vertical="center"/>
    </xf>
    <xf numFmtId="3" fontId="18" fillId="7" borderId="21" xfId="0" applyNumberFormat="1" applyFont="1" applyFill="1" applyBorder="1" applyAlignment="1">
      <alignment horizontal="center" vertical="center"/>
    </xf>
    <xf numFmtId="0" fontId="68" fillId="7" borderId="17" xfId="0" applyFont="1" applyFill="1" applyBorder="1" applyAlignment="1">
      <alignment horizontal="center" vertical="center" wrapText="1"/>
    </xf>
    <xf numFmtId="0" fontId="68" fillId="7" borderId="22" xfId="0" applyFont="1" applyFill="1" applyBorder="1" applyAlignment="1">
      <alignment horizontal="center" vertical="center" wrapText="1"/>
    </xf>
    <xf numFmtId="3" fontId="67" fillId="17" borderId="16" xfId="0" applyNumberFormat="1" applyFont="1" applyFill="1" applyBorder="1" applyAlignment="1">
      <alignment horizontal="center" vertical="center" wrapText="1"/>
    </xf>
    <xf numFmtId="3" fontId="67" fillId="17" borderId="21" xfId="0" applyNumberFormat="1" applyFont="1" applyFill="1" applyBorder="1" applyAlignment="1">
      <alignment horizontal="center" vertical="center" wrapText="1"/>
    </xf>
    <xf numFmtId="0" fontId="68" fillId="17" borderId="15" xfId="0" applyFont="1" applyFill="1" applyBorder="1" applyAlignment="1">
      <alignment horizontal="center" vertical="center" wrapText="1"/>
    </xf>
    <xf numFmtId="0" fontId="68" fillId="17" borderId="20" xfId="0" applyFont="1" applyFill="1" applyBorder="1" applyAlignment="1">
      <alignment horizontal="center" vertical="center" wrapText="1"/>
    </xf>
    <xf numFmtId="0" fontId="18" fillId="17" borderId="17" xfId="0" applyFont="1" applyFill="1" applyBorder="1" applyAlignment="1">
      <alignment horizontal="center" vertical="center"/>
    </xf>
    <xf numFmtId="0" fontId="18" fillId="17" borderId="22" xfId="0" applyFont="1" applyFill="1" applyBorder="1" applyAlignment="1">
      <alignment horizontal="center" vertical="center"/>
    </xf>
    <xf numFmtId="0" fontId="68" fillId="17" borderId="17" xfId="0" applyFont="1" applyFill="1" applyBorder="1" applyAlignment="1">
      <alignment horizontal="center" vertical="center" wrapText="1"/>
    </xf>
    <xf numFmtId="0" fontId="68" fillId="17" borderId="22" xfId="0" applyFont="1" applyFill="1" applyBorder="1" applyAlignment="1">
      <alignment horizontal="center" vertical="center" wrapText="1"/>
    </xf>
    <xf numFmtId="166" fontId="39" fillId="17" borderId="15" xfId="0" applyNumberFormat="1" applyFont="1" applyFill="1" applyBorder="1" applyAlignment="1">
      <alignment horizontal="center" vertical="center" wrapText="1"/>
    </xf>
    <xf numFmtId="166" fontId="39" fillId="17" borderId="16" xfId="0" applyNumberFormat="1" applyFont="1" applyFill="1" applyBorder="1" applyAlignment="1">
      <alignment horizontal="center" vertical="center" wrapText="1"/>
    </xf>
    <xf numFmtId="166" fontId="39" fillId="17" borderId="17" xfId="0" applyNumberFormat="1" applyFont="1" applyFill="1" applyBorder="1" applyAlignment="1">
      <alignment horizontal="center" vertical="center" wrapText="1"/>
    </xf>
    <xf numFmtId="166" fontId="39" fillId="17" borderId="20" xfId="0" applyNumberFormat="1" applyFont="1" applyFill="1" applyBorder="1" applyAlignment="1">
      <alignment horizontal="center" vertical="center" wrapText="1"/>
    </xf>
    <xf numFmtId="166" fontId="39" fillId="17" borderId="21" xfId="0" applyNumberFormat="1" applyFont="1" applyFill="1" applyBorder="1" applyAlignment="1">
      <alignment horizontal="center" vertical="center" wrapText="1"/>
    </xf>
    <xf numFmtId="166" fontId="39" fillId="17" borderId="22" xfId="0" applyNumberFormat="1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48" fillId="22" borderId="26" xfId="0" applyFont="1" applyFill="1" applyBorder="1" applyAlignment="1">
      <alignment horizontal="center"/>
    </xf>
    <xf numFmtId="0" fontId="48" fillId="22" borderId="27" xfId="0" applyFont="1" applyFill="1" applyBorder="1" applyAlignment="1">
      <alignment horizontal="center"/>
    </xf>
    <xf numFmtId="3" fontId="67" fillId="7" borderId="16" xfId="0" applyNumberFormat="1" applyFont="1" applyFill="1" applyBorder="1" applyAlignment="1">
      <alignment horizontal="center" vertical="center" wrapText="1"/>
    </xf>
    <xf numFmtId="3" fontId="67" fillId="7" borderId="21" xfId="0" applyNumberFormat="1" applyFont="1" applyFill="1" applyBorder="1" applyAlignment="1">
      <alignment horizontal="center" vertical="center" wrapText="1"/>
    </xf>
    <xf numFmtId="0" fontId="18" fillId="7" borderId="17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/>
    </xf>
    <xf numFmtId="3" fontId="18" fillId="7" borderId="16" xfId="0" applyNumberFormat="1" applyFont="1" applyFill="1" applyBorder="1" applyAlignment="1">
      <alignment horizontal="center" vertical="center" wrapText="1"/>
    </xf>
    <xf numFmtId="3" fontId="18" fillId="7" borderId="21" xfId="0" applyNumberFormat="1" applyFont="1" applyFill="1" applyBorder="1" applyAlignment="1">
      <alignment horizontal="center" vertical="center" wrapText="1"/>
    </xf>
    <xf numFmtId="167" fontId="18" fillId="7" borderId="15" xfId="0" applyNumberFormat="1" applyFont="1" applyFill="1" applyBorder="1" applyAlignment="1">
      <alignment horizontal="center" vertical="center"/>
    </xf>
    <xf numFmtId="167" fontId="18" fillId="7" borderId="20" xfId="0" applyNumberFormat="1" applyFont="1" applyFill="1" applyBorder="1" applyAlignment="1">
      <alignment horizontal="center" vertical="center"/>
    </xf>
    <xf numFmtId="166" fontId="39" fillId="7" borderId="15" xfId="0" applyNumberFormat="1" applyFont="1" applyFill="1" applyBorder="1" applyAlignment="1">
      <alignment horizontal="center" vertical="center" wrapText="1"/>
    </xf>
    <xf numFmtId="166" fontId="39" fillId="7" borderId="16" xfId="0" applyNumberFormat="1" applyFont="1" applyFill="1" applyBorder="1" applyAlignment="1">
      <alignment horizontal="center" vertical="center" wrapText="1"/>
    </xf>
    <xf numFmtId="166" fontId="39" fillId="7" borderId="17" xfId="0" applyNumberFormat="1" applyFont="1" applyFill="1" applyBorder="1" applyAlignment="1">
      <alignment horizontal="center" vertical="center" wrapText="1"/>
    </xf>
    <xf numFmtId="166" fontId="39" fillId="7" borderId="20" xfId="0" applyNumberFormat="1" applyFont="1" applyFill="1" applyBorder="1" applyAlignment="1">
      <alignment horizontal="center" vertical="center" wrapText="1"/>
    </xf>
    <xf numFmtId="166" fontId="39" fillId="7" borderId="21" xfId="0" applyNumberFormat="1" applyFont="1" applyFill="1" applyBorder="1" applyAlignment="1">
      <alignment horizontal="center" vertical="center" wrapText="1"/>
    </xf>
    <xf numFmtId="166" fontId="39" fillId="7" borderId="22" xfId="0" applyNumberFormat="1" applyFont="1" applyFill="1" applyBorder="1" applyAlignment="1">
      <alignment horizontal="center" vertical="center" wrapText="1"/>
    </xf>
    <xf numFmtId="167" fontId="18" fillId="17" borderId="15" xfId="0" applyNumberFormat="1" applyFont="1" applyFill="1" applyBorder="1" applyAlignment="1">
      <alignment horizontal="center" vertical="center"/>
    </xf>
    <xf numFmtId="167" fontId="18" fillId="17" borderId="20" xfId="0" applyNumberFormat="1" applyFont="1" applyFill="1" applyBorder="1" applyAlignment="1">
      <alignment horizontal="center" vertical="center"/>
    </xf>
    <xf numFmtId="3" fontId="18" fillId="17" borderId="16" xfId="0" applyNumberFormat="1" applyFont="1" applyFill="1" applyBorder="1" applyAlignment="1">
      <alignment horizontal="center" vertical="center" wrapText="1"/>
    </xf>
    <xf numFmtId="3" fontId="18" fillId="17" borderId="21" xfId="0" applyNumberFormat="1" applyFont="1" applyFill="1" applyBorder="1" applyAlignment="1">
      <alignment horizontal="center" vertical="center" wrapText="1"/>
    </xf>
    <xf numFmtId="3" fontId="18" fillId="17" borderId="16" xfId="0" applyNumberFormat="1" applyFont="1" applyFill="1" applyBorder="1" applyAlignment="1">
      <alignment horizontal="center" vertical="center"/>
    </xf>
    <xf numFmtId="3" fontId="18" fillId="17" borderId="21" xfId="0" applyNumberFormat="1" applyFont="1" applyFill="1" applyBorder="1" applyAlignment="1">
      <alignment horizontal="center" vertical="center"/>
    </xf>
    <xf numFmtId="0" fontId="137" fillId="40" borderId="31" xfId="0" applyFont="1" applyFill="1" applyBorder="1" applyAlignment="1">
      <alignment horizontal="center" vertical="center"/>
    </xf>
  </cellXfs>
  <cellStyles count="5">
    <cellStyle name="Calculation" xfId="4" builtinId="22"/>
    <cellStyle name="Comma" xfId="1" builtinId="3"/>
    <cellStyle name="Comma 2" xfId="2"/>
    <cellStyle name="Normal" xfId="0" builtinId="0"/>
    <cellStyle name="Normal 2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  <color rgb="FFFF3300"/>
      <color rgb="FFFFFF66"/>
      <color rgb="FFC7090E"/>
      <color rgb="FFFFFF99"/>
      <color rgb="FF99FFCC"/>
      <color rgb="FFA9D08E"/>
      <color rgb="FF99FF66"/>
      <color rgb="FF0066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2"/>
  <sheetViews>
    <sheetView zoomScale="112" zoomScaleNormal="112" workbookViewId="0">
      <selection activeCell="A2" sqref="A2:N2"/>
    </sheetView>
  </sheetViews>
  <sheetFormatPr defaultColWidth="9.140625" defaultRowHeight="12.75" x14ac:dyDescent="0.2"/>
  <cols>
    <col min="1" max="1" width="23.5703125" style="30" customWidth="1"/>
    <col min="2" max="2" width="17" style="30" customWidth="1"/>
    <col min="3" max="3" width="9.85546875" style="30" bestFit="1" customWidth="1"/>
    <col min="4" max="4" width="9.7109375" style="30" customWidth="1"/>
    <col min="5" max="5" width="12.28515625" style="505" customWidth="1"/>
    <col min="6" max="6" width="8.5703125" style="30" customWidth="1"/>
    <col min="7" max="7" width="9.85546875" style="30" bestFit="1" customWidth="1"/>
    <col min="8" max="8" width="9.42578125" style="30" customWidth="1"/>
    <col min="9" max="9" width="9.85546875" style="31" customWidth="1"/>
    <col min="10" max="10" width="6.85546875" style="30" customWidth="1"/>
    <col min="11" max="11" width="9.85546875" style="31" customWidth="1"/>
    <col min="12" max="12" width="9.5703125" style="30" customWidth="1"/>
    <col min="13" max="13" width="19.42578125" style="30" customWidth="1"/>
    <col min="14" max="14" width="27" style="30" customWidth="1"/>
    <col min="15" max="16384" width="9.140625" style="30"/>
  </cols>
  <sheetData>
    <row r="1" spans="1:14" ht="18" customHeight="1" x14ac:dyDescent="0.3">
      <c r="A1" s="1196" t="s">
        <v>156</v>
      </c>
      <c r="B1" s="1196"/>
      <c r="C1" s="1196"/>
      <c r="D1" s="1196"/>
      <c r="E1" s="1196"/>
      <c r="F1" s="1196"/>
      <c r="G1" s="1196"/>
      <c r="H1" s="1196"/>
      <c r="I1" s="1196"/>
      <c r="J1" s="1196"/>
      <c r="K1" s="1196"/>
      <c r="L1" s="1196"/>
      <c r="M1" s="1196"/>
      <c r="N1" s="1196"/>
    </row>
    <row r="2" spans="1:14" ht="18.75" x14ac:dyDescent="0.3">
      <c r="A2" s="1196" t="s">
        <v>599</v>
      </c>
      <c r="B2" s="1196"/>
      <c r="C2" s="1196"/>
      <c r="D2" s="1196"/>
      <c r="E2" s="1196"/>
      <c r="F2" s="1196"/>
      <c r="G2" s="1196"/>
      <c r="H2" s="1196"/>
      <c r="I2" s="1196"/>
      <c r="J2" s="1196"/>
      <c r="K2" s="1196"/>
      <c r="L2" s="1196"/>
      <c r="M2" s="1196"/>
      <c r="N2" s="1196"/>
    </row>
    <row r="3" spans="1:14" ht="13.5" thickBot="1" x14ac:dyDescent="0.25">
      <c r="E3" s="520"/>
      <c r="F3" s="521"/>
      <c r="I3" s="43"/>
    </row>
    <row r="4" spans="1:14" s="36" customFormat="1" ht="35.25" customHeight="1" x14ac:dyDescent="0.2">
      <c r="A4" s="1205" t="s">
        <v>41</v>
      </c>
      <c r="B4" s="1222" t="s">
        <v>42</v>
      </c>
      <c r="C4" s="1225" t="s">
        <v>40</v>
      </c>
      <c r="D4" s="1226"/>
      <c r="E4" s="1226"/>
      <c r="F4" s="1227"/>
      <c r="G4" s="1228" t="s">
        <v>123</v>
      </c>
      <c r="H4" s="1229"/>
      <c r="I4" s="1229"/>
      <c r="J4" s="1230"/>
      <c r="K4" s="1203" t="s">
        <v>84</v>
      </c>
      <c r="L4" s="1204"/>
      <c r="M4" s="1197" t="s">
        <v>82</v>
      </c>
      <c r="N4" s="1198"/>
    </row>
    <row r="5" spans="1:14" s="36" customFormat="1" ht="12" x14ac:dyDescent="0.2">
      <c r="A5" s="1206"/>
      <c r="B5" s="1223"/>
      <c r="C5" s="1214" t="s">
        <v>45</v>
      </c>
      <c r="D5" s="1215"/>
      <c r="E5" s="1216"/>
      <c r="F5" s="1217" t="s">
        <v>83</v>
      </c>
      <c r="G5" s="1219" t="s">
        <v>45</v>
      </c>
      <c r="H5" s="1220"/>
      <c r="I5" s="1221"/>
      <c r="J5" s="1212" t="s">
        <v>83</v>
      </c>
      <c r="K5" s="1208" t="s">
        <v>45</v>
      </c>
      <c r="L5" s="1210" t="s">
        <v>83</v>
      </c>
      <c r="M5" s="1199" t="s">
        <v>43</v>
      </c>
      <c r="N5" s="1201" t="s">
        <v>44</v>
      </c>
    </row>
    <row r="6" spans="1:14" s="36" customFormat="1" ht="24.75" customHeight="1" thickBot="1" x14ac:dyDescent="0.25">
      <c r="A6" s="1207"/>
      <c r="B6" s="1224"/>
      <c r="C6" s="149" t="s">
        <v>43</v>
      </c>
      <c r="D6" s="488" t="s">
        <v>44</v>
      </c>
      <c r="E6" s="506" t="s">
        <v>24</v>
      </c>
      <c r="F6" s="1218"/>
      <c r="G6" s="151" t="s">
        <v>43</v>
      </c>
      <c r="H6" s="151" t="s">
        <v>44</v>
      </c>
      <c r="I6" s="151" t="s">
        <v>24</v>
      </c>
      <c r="J6" s="1213"/>
      <c r="K6" s="1209"/>
      <c r="L6" s="1211"/>
      <c r="M6" s="1200"/>
      <c r="N6" s="1202"/>
    </row>
    <row r="7" spans="1:14" s="33" customFormat="1" x14ac:dyDescent="0.2">
      <c r="A7" s="218" t="s">
        <v>85</v>
      </c>
      <c r="B7" s="219"/>
      <c r="C7" s="220"/>
      <c r="D7" s="489"/>
      <c r="E7" s="507"/>
      <c r="F7" s="497"/>
      <c r="G7" s="220"/>
      <c r="H7" s="220"/>
      <c r="I7" s="221"/>
      <c r="J7" s="222"/>
      <c r="K7" s="223">
        <f>E7+I7</f>
        <v>0</v>
      </c>
      <c r="L7" s="224"/>
      <c r="M7" s="225"/>
      <c r="N7" s="226"/>
    </row>
    <row r="8" spans="1:14" s="98" customFormat="1" ht="22.5" x14ac:dyDescent="0.2">
      <c r="A8" s="134" t="s">
        <v>53</v>
      </c>
      <c r="B8" s="135" t="s">
        <v>58</v>
      </c>
      <c r="C8" s="150">
        <f>'ACT-RDT-PQ BY AMS'!C10</f>
        <v>169290</v>
      </c>
      <c r="D8" s="490">
        <f>'ACT-RDT-PQ BY AMS'!C11</f>
        <v>24480</v>
      </c>
      <c r="E8" s="508">
        <f>'ACT-RDT-PQ BY AMS'!C12</f>
        <v>193770</v>
      </c>
      <c r="F8" s="498">
        <f>E8/'ACT-RDT-PQ BY AMS'!AA17</f>
        <v>0.34194705882352944</v>
      </c>
      <c r="G8" s="152">
        <f>'ACT-RDT-PQ BY AMS'!L10</f>
        <v>108000</v>
      </c>
      <c r="H8" s="152">
        <f>'ACT-RDT-PQ BY AMS'!L11</f>
        <v>0</v>
      </c>
      <c r="I8" s="153">
        <f>G8+H8</f>
        <v>108000</v>
      </c>
      <c r="J8" s="154">
        <f>I8/'ACT-RDT-PQ BY AMS'!AA17</f>
        <v>0.19058823529411767</v>
      </c>
      <c r="K8" s="172">
        <f>E8+I8</f>
        <v>301770</v>
      </c>
      <c r="L8" s="173">
        <f>F8+J8</f>
        <v>0.53253529411764711</v>
      </c>
      <c r="M8" s="136"/>
      <c r="N8" s="137"/>
    </row>
    <row r="9" spans="1:14" s="98" customFormat="1" ht="22.5" x14ac:dyDescent="0.2">
      <c r="A9" s="134" t="s">
        <v>56</v>
      </c>
      <c r="B9" s="135" t="s">
        <v>58</v>
      </c>
      <c r="C9" s="150">
        <f>'ACT-RDT-PQ BY AMS'!D10</f>
        <v>80100</v>
      </c>
      <c r="D9" s="490">
        <f>'ACT-RDT-PQ BY AMS'!D11</f>
        <v>227880</v>
      </c>
      <c r="E9" s="508">
        <f>'ACT-RDT-PQ BY AMS'!D12</f>
        <v>307980</v>
      </c>
      <c r="F9" s="498">
        <f>(E9*2)/'ACT-RDT-PQ BY AMS'!AA17</f>
        <v>1.0869882352941178</v>
      </c>
      <c r="G9" s="152">
        <f>'ACT-RDT-PQ BY AMS'!M10</f>
        <v>96000</v>
      </c>
      <c r="H9" s="152">
        <f>'ACT-RDT-PQ BY AMS'!M11</f>
        <v>0</v>
      </c>
      <c r="I9" s="153">
        <f>G9+H9</f>
        <v>96000</v>
      </c>
      <c r="J9" s="154">
        <f>(I9*2)/'ACT-RDT-PQ BY AMS'!AA17</f>
        <v>0.33882352941176475</v>
      </c>
      <c r="K9" s="172">
        <f t="shared" ref="K9:K23" si="0">E9+I9</f>
        <v>403980</v>
      </c>
      <c r="L9" s="173">
        <f t="shared" ref="L9:L14" si="1">F9+J9</f>
        <v>1.4258117647058826</v>
      </c>
      <c r="M9" s="138"/>
      <c r="N9" s="139"/>
    </row>
    <row r="10" spans="1:14" s="98" customFormat="1" ht="22.5" x14ac:dyDescent="0.2">
      <c r="A10" s="134" t="s">
        <v>55</v>
      </c>
      <c r="B10" s="135" t="s">
        <v>58</v>
      </c>
      <c r="C10" s="150">
        <f>'ACT-RDT-PQ BY AMS'!E10</f>
        <v>110220</v>
      </c>
      <c r="D10" s="490">
        <f>'ACT-RDT-PQ BY AMS'!E11</f>
        <v>0</v>
      </c>
      <c r="E10" s="508">
        <f>'ACT-RDT-PQ BY AMS'!E12</f>
        <v>110220</v>
      </c>
      <c r="F10" s="498">
        <f>(E10*3)/'ACT-RDT-PQ BY AMS'!AA17</f>
        <v>0.58351764705882359</v>
      </c>
      <c r="G10" s="152">
        <f>'ACT-RDT-PQ BY AMS'!N10</f>
        <v>2160</v>
      </c>
      <c r="H10" s="152">
        <f>'ACT-RDT-PQ BY AMS'!N11</f>
        <v>0</v>
      </c>
      <c r="I10" s="153">
        <f>G10+H10</f>
        <v>2160</v>
      </c>
      <c r="J10" s="154">
        <f>(I10*3)/'ACT-RDT-PQ BY AMS'!AA17</f>
        <v>1.1435294117647059E-2</v>
      </c>
      <c r="K10" s="172">
        <f t="shared" si="0"/>
        <v>112380</v>
      </c>
      <c r="L10" s="173">
        <f t="shared" si="1"/>
        <v>0.59495294117647068</v>
      </c>
      <c r="M10" s="138"/>
      <c r="N10" s="139"/>
    </row>
    <row r="11" spans="1:14" s="98" customFormat="1" ht="22.5" x14ac:dyDescent="0.2">
      <c r="A11" s="134" t="s">
        <v>54</v>
      </c>
      <c r="B11" s="135" t="s">
        <v>58</v>
      </c>
      <c r="C11" s="150">
        <f>'ACT-RDT-PQ BY AMS'!F10</f>
        <v>55050</v>
      </c>
      <c r="D11" s="490">
        <f>'ACT-RDT-PQ BY AMS'!F11</f>
        <v>252540</v>
      </c>
      <c r="E11" s="508">
        <f>'ACT-RDT-PQ BY AMS'!F12</f>
        <v>307590</v>
      </c>
      <c r="F11" s="498">
        <f>(E11*4)/'ACT-RDT-PQ BY AMS'!AA17</f>
        <v>2.171223529411765</v>
      </c>
      <c r="G11" s="152">
        <f>'ACT-RDT-PQ BY AMS'!O10</f>
        <v>2280</v>
      </c>
      <c r="H11" s="152">
        <f>'ACT-RDT-PQ BY AMS'!O11</f>
        <v>0</v>
      </c>
      <c r="I11" s="153">
        <f>G11+H11</f>
        <v>2280</v>
      </c>
      <c r="J11" s="154">
        <f>(I11*4)/'ACT-RDT-PQ BY AMS'!AA17</f>
        <v>1.6094117647058825E-2</v>
      </c>
      <c r="K11" s="172">
        <f>E11+I11</f>
        <v>309870</v>
      </c>
      <c r="L11" s="173">
        <f t="shared" si="1"/>
        <v>2.187317647058824</v>
      </c>
      <c r="M11" s="138"/>
      <c r="N11" s="139"/>
    </row>
    <row r="12" spans="1:14" s="32" customFormat="1" ht="25.5" x14ac:dyDescent="0.25">
      <c r="A12" s="130" t="s">
        <v>57</v>
      </c>
      <c r="B12" s="129" t="s">
        <v>58</v>
      </c>
      <c r="C12" s="236">
        <f>'ACT-RDT-PQ BY AMS'!G10</f>
        <v>414660</v>
      </c>
      <c r="D12" s="491">
        <f>'ACT-RDT-PQ BY AMS'!G11</f>
        <v>504900</v>
      </c>
      <c r="E12" s="504">
        <f>'ACT-RDT-PQ BY AMS'!G12</f>
        <v>919560</v>
      </c>
      <c r="F12" s="514">
        <f>'ACT-RDT-PQ BY AMS'!C18</f>
        <v>4.1836764705882352</v>
      </c>
      <c r="G12" s="237">
        <f>'ACT-RDT-PQ BY AMS'!P10</f>
        <v>208440</v>
      </c>
      <c r="H12" s="237">
        <f>'ACT-RDT-PQ BY AMS'!P11</f>
        <v>0</v>
      </c>
      <c r="I12" s="155">
        <f>'ACT-RDT-PQ BY AMS'!P12</f>
        <v>208440</v>
      </c>
      <c r="J12" s="517">
        <f>'ACT-RDT-PQ BY AMS'!L18</f>
        <v>0.55694117647058827</v>
      </c>
      <c r="K12" s="174">
        <f t="shared" si="0"/>
        <v>1128000</v>
      </c>
      <c r="L12" s="519">
        <f>F12+J12</f>
        <v>4.7406176470588237</v>
      </c>
      <c r="M12" s="144" t="s">
        <v>544</v>
      </c>
      <c r="N12" s="100"/>
    </row>
    <row r="13" spans="1:14" s="133" customFormat="1" ht="24" x14ac:dyDescent="0.25">
      <c r="A13" s="176" t="s">
        <v>46</v>
      </c>
      <c r="B13" s="177" t="s">
        <v>31</v>
      </c>
      <c r="C13" s="238">
        <f>'ACT-RDT-PQ BY AMS'!H10</f>
        <v>1866300</v>
      </c>
      <c r="D13" s="492">
        <f>'ACT-RDT-PQ BY AMS'!H11</f>
        <v>0</v>
      </c>
      <c r="E13" s="504">
        <f>'ACT-RDT-PQ BY AMS'!H12</f>
        <v>1866300</v>
      </c>
      <c r="F13" s="515">
        <f>'ACT-RDT-PQ BY AMS'!H18</f>
        <v>1.3410538922155688</v>
      </c>
      <c r="G13" s="239">
        <f>'ACT-RDT-PQ BY AMS'!Q10</f>
        <v>168500</v>
      </c>
      <c r="H13" s="239">
        <f>'ACT-RDT-PQ BY AMS'!Q11</f>
        <v>0</v>
      </c>
      <c r="I13" s="155">
        <f>'ACT-RDT-PQ BY AMS'!Q12</f>
        <v>168500</v>
      </c>
      <c r="J13" s="517">
        <f>I13/'ACT-RDT-PQ BY AMS'!Z17</f>
        <v>0.12107784431137723</v>
      </c>
      <c r="K13" s="175">
        <f t="shared" si="0"/>
        <v>2034800</v>
      </c>
      <c r="L13" s="519">
        <f>F13+J13</f>
        <v>1.4621317365269459</v>
      </c>
      <c r="M13" s="144" t="s">
        <v>600</v>
      </c>
      <c r="N13" s="100"/>
    </row>
    <row r="14" spans="1:14" s="133" customFormat="1" ht="24" x14ac:dyDescent="0.25">
      <c r="A14" s="131" t="s">
        <v>30</v>
      </c>
      <c r="B14" s="132" t="s">
        <v>52</v>
      </c>
      <c r="C14" s="235">
        <f>'ACT-RDT-PQ BY AMS'!B10</f>
        <v>1493475</v>
      </c>
      <c r="D14" s="493">
        <f>'ACT-RDT-PQ BY AMS'!B11</f>
        <v>68275</v>
      </c>
      <c r="E14" s="504">
        <f>'ACT-RDT-PQ BY AMS'!B12</f>
        <v>1561750</v>
      </c>
      <c r="F14" s="516">
        <f>'ACT-RDT-PQ BY AMS'!B18</f>
        <v>4.6852499999999999</v>
      </c>
      <c r="G14" s="155">
        <f>'ACT-RDT-PQ BY AMS'!K10</f>
        <v>58825</v>
      </c>
      <c r="H14" s="155">
        <f>'ACT-RDT-PQ BY AMS'!K11</f>
        <v>0</v>
      </c>
      <c r="I14" s="155">
        <f>'ACT-RDT-PQ BY AMS'!K12</f>
        <v>58825</v>
      </c>
      <c r="J14" s="518">
        <f>I14/'ACT-RDT-PQ BY AMS'!T17</f>
        <v>0.17647500000000002</v>
      </c>
      <c r="K14" s="175">
        <f t="shared" si="0"/>
        <v>1620575</v>
      </c>
      <c r="L14" s="519">
        <f t="shared" si="1"/>
        <v>4.8617249999999999</v>
      </c>
      <c r="M14" s="144" t="s">
        <v>594</v>
      </c>
      <c r="N14" s="100"/>
    </row>
    <row r="15" spans="1:14" x14ac:dyDescent="0.2">
      <c r="A15" s="240"/>
      <c r="B15" s="240"/>
      <c r="C15" s="241"/>
      <c r="D15" s="494"/>
      <c r="E15" s="509">
        <v>0</v>
      </c>
      <c r="F15" s="499"/>
      <c r="G15" s="156"/>
      <c r="H15" s="156"/>
      <c r="I15" s="156"/>
      <c r="J15" s="242"/>
      <c r="K15" s="171"/>
      <c r="L15" s="243"/>
      <c r="M15" s="83"/>
      <c r="N15" s="84"/>
    </row>
    <row r="16" spans="1:14" s="33" customFormat="1" x14ac:dyDescent="0.2">
      <c r="A16" s="163" t="s">
        <v>51</v>
      </c>
      <c r="B16" s="90"/>
      <c r="C16" s="91"/>
      <c r="D16" s="495"/>
      <c r="E16" s="510"/>
      <c r="F16" s="500"/>
      <c r="G16" s="91">
        <v>0.57638888888888895</v>
      </c>
      <c r="H16" s="91"/>
      <c r="I16" s="92"/>
      <c r="J16" s="93"/>
      <c r="K16" s="94"/>
      <c r="L16" s="95"/>
      <c r="M16" s="96"/>
      <c r="N16" s="97"/>
    </row>
    <row r="17" spans="1:14" s="88" customFormat="1" ht="24" x14ac:dyDescent="0.25">
      <c r="A17" s="99" t="s">
        <v>87</v>
      </c>
      <c r="B17" s="87" t="s">
        <v>31</v>
      </c>
      <c r="C17" s="164">
        <f>' Other A.M.Drugs BY AMS'!B12</f>
        <v>280400</v>
      </c>
      <c r="D17" s="496">
        <f>' Other A.M.Drugs BY AMS'!B11</f>
        <v>0</v>
      </c>
      <c r="E17" s="511">
        <f>D17+C17</f>
        <v>280400</v>
      </c>
      <c r="F17" s="501"/>
      <c r="G17" s="157">
        <f>' Other A.M.Drugs BY AMS'!M10</f>
        <v>0</v>
      </c>
      <c r="H17" s="157">
        <f>' Other A.M.Drugs BY AMS'!M11</f>
        <v>0</v>
      </c>
      <c r="I17" s="157">
        <f t="shared" ref="I17:I23" si="2">G17+H17</f>
        <v>0</v>
      </c>
      <c r="J17" s="158"/>
      <c r="K17" s="166">
        <f>E17+I17</f>
        <v>280400</v>
      </c>
      <c r="L17" s="167"/>
      <c r="M17" s="140"/>
      <c r="N17" s="89"/>
    </row>
    <row r="18" spans="1:14" s="34" customFormat="1" x14ac:dyDescent="0.2">
      <c r="A18" s="42" t="s">
        <v>47</v>
      </c>
      <c r="B18" s="42" t="s">
        <v>59</v>
      </c>
      <c r="C18" s="165">
        <f>' Other A.M.Drugs BY AMS'!C12</f>
        <v>53964</v>
      </c>
      <c r="D18" s="496">
        <f>' Other A.M.Drugs BY AMS'!B11</f>
        <v>0</v>
      </c>
      <c r="E18" s="512">
        <f>D18+C18</f>
        <v>53964</v>
      </c>
      <c r="F18" s="502"/>
      <c r="G18" s="159">
        <f>' Other A.M.Drugs BY AMS'!N10</f>
        <v>22000</v>
      </c>
      <c r="H18" s="159">
        <f>' Other A.M.Drugs BY AMS'!N11</f>
        <v>0</v>
      </c>
      <c r="I18" s="160">
        <f t="shared" si="2"/>
        <v>22000</v>
      </c>
      <c r="J18" s="161"/>
      <c r="K18" s="168">
        <f>E18+I18</f>
        <v>75964</v>
      </c>
      <c r="L18" s="169"/>
      <c r="M18" s="85"/>
      <c r="N18" s="86"/>
    </row>
    <row r="19" spans="1:14" s="34" customFormat="1" x14ac:dyDescent="0.2">
      <c r="A19" s="42" t="s">
        <v>48</v>
      </c>
      <c r="B19" s="42" t="s">
        <v>59</v>
      </c>
      <c r="C19" s="165">
        <f>' Other A.M.Drugs BY AMS'!D12</f>
        <v>65306</v>
      </c>
      <c r="D19" s="496">
        <f>' Other A.M.Drugs BY AMS'!B11</f>
        <v>0</v>
      </c>
      <c r="E19" s="512">
        <f>D19+C19</f>
        <v>65306</v>
      </c>
      <c r="F19" s="502"/>
      <c r="G19" s="159">
        <f>' Other A.M.Drugs BY AMS'!O10</f>
        <v>10000</v>
      </c>
      <c r="H19" s="159">
        <f>' Other A.M.Drugs BY AMS'!O11</f>
        <v>0</v>
      </c>
      <c r="I19" s="160">
        <f t="shared" si="2"/>
        <v>10000</v>
      </c>
      <c r="J19" s="162"/>
      <c r="K19" s="168">
        <f t="shared" si="0"/>
        <v>75306</v>
      </c>
      <c r="L19" s="169"/>
      <c r="M19" s="85"/>
      <c r="N19" s="86"/>
    </row>
    <row r="20" spans="1:14" s="34" customFormat="1" x14ac:dyDescent="0.2">
      <c r="A20" s="42" t="s">
        <v>86</v>
      </c>
      <c r="B20" s="42" t="s">
        <v>60</v>
      </c>
      <c r="C20" s="165">
        <f>' Other A.M.Drugs BY AMS'!E12</f>
        <v>22670</v>
      </c>
      <c r="D20" s="496">
        <f>' Other A.M.Drugs BY AMS'!B11</f>
        <v>0</v>
      </c>
      <c r="E20" s="512">
        <f>D20+C20</f>
        <v>22670</v>
      </c>
      <c r="F20" s="502"/>
      <c r="G20" s="159">
        <f>' Other A.M.Drugs BY AMS'!P10</f>
        <v>0</v>
      </c>
      <c r="H20" s="159">
        <f>' Other A.M.Drugs BY AMS'!P11</f>
        <v>0</v>
      </c>
      <c r="I20" s="160">
        <f t="shared" si="2"/>
        <v>0</v>
      </c>
      <c r="J20" s="162"/>
      <c r="K20" s="168">
        <f t="shared" si="0"/>
        <v>22670</v>
      </c>
      <c r="L20" s="169"/>
      <c r="M20" s="85"/>
      <c r="N20" s="86"/>
    </row>
    <row r="21" spans="1:14" s="34" customFormat="1" x14ac:dyDescent="0.2">
      <c r="A21" s="42" t="s">
        <v>50</v>
      </c>
      <c r="B21" s="42" t="s">
        <v>60</v>
      </c>
      <c r="C21" s="165">
        <f>' Other A.M.Drugs BY AMS'!F12</f>
        <v>1760</v>
      </c>
      <c r="D21" s="496">
        <f>' Other A.M.Drugs BY AMS'!B11</f>
        <v>0</v>
      </c>
      <c r="E21" s="512">
        <f>C21+D21</f>
        <v>1760</v>
      </c>
      <c r="F21" s="502"/>
      <c r="G21" s="159">
        <f>' Other A.M.Drugs BY AMS'!Q10</f>
        <v>0</v>
      </c>
      <c r="H21" s="159">
        <f>' Other A.M.Drugs BY AMS'!Q11</f>
        <v>0</v>
      </c>
      <c r="I21" s="160">
        <f t="shared" si="2"/>
        <v>0</v>
      </c>
      <c r="J21" s="162"/>
      <c r="K21" s="168">
        <f t="shared" si="0"/>
        <v>1760</v>
      </c>
      <c r="L21" s="169"/>
      <c r="M21" s="101"/>
      <c r="N21" s="86"/>
    </row>
    <row r="22" spans="1:14" s="34" customFormat="1" x14ac:dyDescent="0.2">
      <c r="A22" s="42" t="s">
        <v>49</v>
      </c>
      <c r="B22" s="42" t="s">
        <v>31</v>
      </c>
      <c r="C22" s="165">
        <f>' Other A.M.Drugs BY AMS'!G12</f>
        <v>99200</v>
      </c>
      <c r="D22" s="496">
        <f>' Other A.M.Drugs BY AMS'!B11</f>
        <v>0</v>
      </c>
      <c r="E22" s="512">
        <f>D22+C22</f>
        <v>99200</v>
      </c>
      <c r="F22" s="502"/>
      <c r="G22" s="159">
        <f>' Other A.M.Drugs BY AMS'!R10</f>
        <v>0</v>
      </c>
      <c r="H22" s="159">
        <f>' Other A.M.Drugs BY AMS'!Q11</f>
        <v>0</v>
      </c>
      <c r="I22" s="160">
        <f t="shared" si="2"/>
        <v>0</v>
      </c>
      <c r="J22" s="162"/>
      <c r="K22" s="168">
        <f>E22+I22</f>
        <v>99200</v>
      </c>
      <c r="L22" s="169"/>
      <c r="M22" s="101"/>
      <c r="N22" s="86"/>
    </row>
    <row r="23" spans="1:14" s="305" customFormat="1" ht="24.75" thickBot="1" x14ac:dyDescent="0.25">
      <c r="A23" s="300" t="s">
        <v>136</v>
      </c>
      <c r="B23" s="35" t="s">
        <v>31</v>
      </c>
      <c r="C23" s="306">
        <f>' Other A.M.Drugs BY AMS'!J12</f>
        <v>2433</v>
      </c>
      <c r="D23" s="496">
        <f>' Other A.M.Drugs BY AMS'!B11</f>
        <v>0</v>
      </c>
      <c r="E23" s="513">
        <f>D23+C23</f>
        <v>2433</v>
      </c>
      <c r="F23" s="503"/>
      <c r="G23" s="301">
        <f>' Other A.M.Drugs BY AMS'!U10</f>
        <v>0</v>
      </c>
      <c r="H23" s="159">
        <f>' Other A.M.Drugs BY AMS'!Q11</f>
        <v>0</v>
      </c>
      <c r="I23" s="160">
        <f t="shared" si="2"/>
        <v>0</v>
      </c>
      <c r="J23" s="302"/>
      <c r="K23" s="375">
        <f t="shared" si="0"/>
        <v>2433</v>
      </c>
      <c r="L23" s="170"/>
      <c r="M23" s="303"/>
      <c r="N23" s="304"/>
    </row>
    <row r="24" spans="1:14" ht="12" x14ac:dyDescent="0.2">
      <c r="E24" s="30"/>
    </row>
    <row r="25" spans="1:14" x14ac:dyDescent="0.2">
      <c r="E25" s="522"/>
    </row>
    <row r="26" spans="1:14" x14ac:dyDescent="0.2">
      <c r="E26" s="522"/>
    </row>
    <row r="27" spans="1:14" x14ac:dyDescent="0.2">
      <c r="E27" s="523"/>
      <c r="I27" s="30"/>
    </row>
    <row r="28" spans="1:14" x14ac:dyDescent="0.2">
      <c r="E28" s="523"/>
      <c r="I28" s="30"/>
    </row>
    <row r="29" spans="1:14" x14ac:dyDescent="0.2">
      <c r="E29" s="522"/>
    </row>
    <row r="30" spans="1:14" x14ac:dyDescent="0.2">
      <c r="E30" s="522"/>
    </row>
    <row r="31" spans="1:14" x14ac:dyDescent="0.2">
      <c r="E31" s="522"/>
    </row>
    <row r="32" spans="1:14" x14ac:dyDescent="0.2">
      <c r="E32" s="522"/>
    </row>
    <row r="33" spans="5:5" x14ac:dyDescent="0.2">
      <c r="E33" s="522"/>
    </row>
    <row r="34" spans="5:5" x14ac:dyDescent="0.2">
      <c r="E34" s="522"/>
    </row>
    <row r="35" spans="5:5" x14ac:dyDescent="0.2">
      <c r="E35" s="522"/>
    </row>
    <row r="36" spans="5:5" x14ac:dyDescent="0.2">
      <c r="E36" s="522"/>
    </row>
    <row r="37" spans="5:5" x14ac:dyDescent="0.2">
      <c r="E37" s="522"/>
    </row>
    <row r="38" spans="5:5" x14ac:dyDescent="0.2">
      <c r="E38" s="522"/>
    </row>
    <row r="39" spans="5:5" x14ac:dyDescent="0.2">
      <c r="E39" s="522"/>
    </row>
    <row r="40" spans="5:5" x14ac:dyDescent="0.2">
      <c r="E40" s="522"/>
    </row>
    <row r="41" spans="5:5" x14ac:dyDescent="0.2">
      <c r="E41" s="522"/>
    </row>
    <row r="42" spans="5:5" x14ac:dyDescent="0.2">
      <c r="E42" s="522"/>
    </row>
    <row r="43" spans="5:5" x14ac:dyDescent="0.2">
      <c r="E43" s="522"/>
    </row>
    <row r="44" spans="5:5" x14ac:dyDescent="0.2">
      <c r="E44" s="522"/>
    </row>
    <row r="45" spans="5:5" x14ac:dyDescent="0.2">
      <c r="E45" s="522"/>
    </row>
    <row r="46" spans="5:5" x14ac:dyDescent="0.2">
      <c r="E46" s="522"/>
    </row>
    <row r="47" spans="5:5" x14ac:dyDescent="0.2">
      <c r="E47" s="522"/>
    </row>
    <row r="48" spans="5:5" x14ac:dyDescent="0.2">
      <c r="E48" s="522"/>
    </row>
    <row r="49" spans="5:5" x14ac:dyDescent="0.2">
      <c r="E49" s="522"/>
    </row>
    <row r="50" spans="5:5" x14ac:dyDescent="0.2">
      <c r="E50" s="522"/>
    </row>
    <row r="51" spans="5:5" x14ac:dyDescent="0.2">
      <c r="E51" s="522"/>
    </row>
    <row r="52" spans="5:5" x14ac:dyDescent="0.2">
      <c r="E52" s="522"/>
    </row>
    <row r="53" spans="5:5" x14ac:dyDescent="0.2">
      <c r="E53" s="522"/>
    </row>
    <row r="54" spans="5:5" x14ac:dyDescent="0.2">
      <c r="E54" s="522"/>
    </row>
    <row r="55" spans="5:5" x14ac:dyDescent="0.2">
      <c r="E55" s="522"/>
    </row>
    <row r="56" spans="5:5" x14ac:dyDescent="0.2">
      <c r="E56" s="522"/>
    </row>
    <row r="57" spans="5:5" x14ac:dyDescent="0.2">
      <c r="E57" s="522"/>
    </row>
    <row r="58" spans="5:5" x14ac:dyDescent="0.2">
      <c r="E58" s="522"/>
    </row>
    <row r="59" spans="5:5" x14ac:dyDescent="0.2">
      <c r="E59" s="522"/>
    </row>
    <row r="60" spans="5:5" x14ac:dyDescent="0.2">
      <c r="E60" s="522"/>
    </row>
    <row r="61" spans="5:5" x14ac:dyDescent="0.2">
      <c r="E61" s="522"/>
    </row>
    <row r="62" spans="5:5" x14ac:dyDescent="0.2">
      <c r="E62" s="522"/>
    </row>
    <row r="63" spans="5:5" x14ac:dyDescent="0.2">
      <c r="E63" s="522"/>
    </row>
    <row r="64" spans="5:5" x14ac:dyDescent="0.2">
      <c r="E64" s="522"/>
    </row>
    <row r="65" spans="5:5" x14ac:dyDescent="0.2">
      <c r="E65" s="522"/>
    </row>
    <row r="66" spans="5:5" x14ac:dyDescent="0.2">
      <c r="E66" s="522"/>
    </row>
    <row r="67" spans="5:5" x14ac:dyDescent="0.2">
      <c r="E67" s="522"/>
    </row>
    <row r="68" spans="5:5" x14ac:dyDescent="0.2">
      <c r="E68" s="522"/>
    </row>
    <row r="69" spans="5:5" x14ac:dyDescent="0.2">
      <c r="E69" s="522"/>
    </row>
    <row r="70" spans="5:5" x14ac:dyDescent="0.2">
      <c r="E70" s="522"/>
    </row>
    <row r="71" spans="5:5" x14ac:dyDescent="0.2">
      <c r="E71" s="522"/>
    </row>
    <row r="72" spans="5:5" x14ac:dyDescent="0.2">
      <c r="E72" s="522"/>
    </row>
    <row r="73" spans="5:5" x14ac:dyDescent="0.2">
      <c r="E73" s="522"/>
    </row>
    <row r="74" spans="5:5" x14ac:dyDescent="0.2">
      <c r="E74" s="522"/>
    </row>
    <row r="75" spans="5:5" x14ac:dyDescent="0.2">
      <c r="E75" s="522"/>
    </row>
    <row r="76" spans="5:5" x14ac:dyDescent="0.2">
      <c r="E76" s="522"/>
    </row>
    <row r="77" spans="5:5" x14ac:dyDescent="0.2">
      <c r="E77" s="522"/>
    </row>
    <row r="78" spans="5:5" x14ac:dyDescent="0.2">
      <c r="E78" s="522"/>
    </row>
    <row r="79" spans="5:5" x14ac:dyDescent="0.2">
      <c r="E79" s="522"/>
    </row>
    <row r="80" spans="5:5" x14ac:dyDescent="0.2">
      <c r="E80" s="522"/>
    </row>
    <row r="81" spans="5:5" x14ac:dyDescent="0.2">
      <c r="E81" s="522"/>
    </row>
    <row r="82" spans="5:5" x14ac:dyDescent="0.2">
      <c r="E82" s="522"/>
    </row>
    <row r="83" spans="5:5" x14ac:dyDescent="0.2">
      <c r="E83" s="522"/>
    </row>
    <row r="84" spans="5:5" x14ac:dyDescent="0.2">
      <c r="E84" s="522"/>
    </row>
    <row r="85" spans="5:5" x14ac:dyDescent="0.2">
      <c r="E85" s="522"/>
    </row>
    <row r="86" spans="5:5" x14ac:dyDescent="0.2">
      <c r="E86" s="522"/>
    </row>
    <row r="87" spans="5:5" x14ac:dyDescent="0.2">
      <c r="E87" s="522"/>
    </row>
    <row r="88" spans="5:5" x14ac:dyDescent="0.2">
      <c r="E88" s="522"/>
    </row>
    <row r="89" spans="5:5" x14ac:dyDescent="0.2">
      <c r="E89" s="522"/>
    </row>
    <row r="90" spans="5:5" x14ac:dyDescent="0.2">
      <c r="E90" s="522"/>
    </row>
    <row r="91" spans="5:5" x14ac:dyDescent="0.2">
      <c r="E91" s="522"/>
    </row>
    <row r="92" spans="5:5" x14ac:dyDescent="0.2">
      <c r="E92" s="522"/>
    </row>
    <row r="93" spans="5:5" x14ac:dyDescent="0.2">
      <c r="E93" s="522"/>
    </row>
    <row r="94" spans="5:5" x14ac:dyDescent="0.2">
      <c r="E94" s="522"/>
    </row>
    <row r="95" spans="5:5" x14ac:dyDescent="0.2">
      <c r="E95" s="522"/>
    </row>
    <row r="96" spans="5:5" x14ac:dyDescent="0.2">
      <c r="E96" s="522"/>
    </row>
    <row r="97" spans="5:5" x14ac:dyDescent="0.2">
      <c r="E97" s="522"/>
    </row>
    <row r="98" spans="5:5" x14ac:dyDescent="0.2">
      <c r="E98" s="522"/>
    </row>
    <row r="99" spans="5:5" x14ac:dyDescent="0.2">
      <c r="E99" s="522"/>
    </row>
    <row r="100" spans="5:5" x14ac:dyDescent="0.2">
      <c r="E100" s="522"/>
    </row>
    <row r="101" spans="5:5" x14ac:dyDescent="0.2">
      <c r="E101" s="522"/>
    </row>
    <row r="102" spans="5:5" x14ac:dyDescent="0.2">
      <c r="E102" s="522"/>
    </row>
    <row r="103" spans="5:5" x14ac:dyDescent="0.2">
      <c r="E103" s="522"/>
    </row>
    <row r="104" spans="5:5" x14ac:dyDescent="0.2">
      <c r="E104" s="522"/>
    </row>
    <row r="105" spans="5:5" x14ac:dyDescent="0.2">
      <c r="E105" s="522"/>
    </row>
    <row r="106" spans="5:5" x14ac:dyDescent="0.2">
      <c r="E106" s="522"/>
    </row>
    <row r="107" spans="5:5" x14ac:dyDescent="0.2">
      <c r="E107" s="522"/>
    </row>
    <row r="108" spans="5:5" x14ac:dyDescent="0.2">
      <c r="E108" s="522"/>
    </row>
    <row r="109" spans="5:5" x14ac:dyDescent="0.2">
      <c r="E109" s="522"/>
    </row>
    <row r="110" spans="5:5" x14ac:dyDescent="0.2">
      <c r="E110" s="522"/>
    </row>
    <row r="111" spans="5:5" x14ac:dyDescent="0.2">
      <c r="E111" s="522"/>
    </row>
    <row r="112" spans="5:5" x14ac:dyDescent="0.2">
      <c r="E112" s="522"/>
    </row>
    <row r="113" spans="5:5" x14ac:dyDescent="0.2">
      <c r="E113" s="522"/>
    </row>
    <row r="114" spans="5:5" x14ac:dyDescent="0.2">
      <c r="E114" s="522"/>
    </row>
    <row r="115" spans="5:5" x14ac:dyDescent="0.2">
      <c r="E115" s="522"/>
    </row>
    <row r="116" spans="5:5" x14ac:dyDescent="0.2">
      <c r="E116" s="522"/>
    </row>
    <row r="117" spans="5:5" x14ac:dyDescent="0.2">
      <c r="E117" s="522"/>
    </row>
    <row r="118" spans="5:5" x14ac:dyDescent="0.2">
      <c r="E118" s="522"/>
    </row>
    <row r="119" spans="5:5" x14ac:dyDescent="0.2">
      <c r="E119" s="522"/>
    </row>
    <row r="120" spans="5:5" x14ac:dyDescent="0.2">
      <c r="E120" s="522"/>
    </row>
    <row r="121" spans="5:5" x14ac:dyDescent="0.2">
      <c r="E121" s="522"/>
    </row>
    <row r="122" spans="5:5" x14ac:dyDescent="0.2">
      <c r="E122" s="522"/>
    </row>
    <row r="123" spans="5:5" x14ac:dyDescent="0.2">
      <c r="E123" s="522"/>
    </row>
    <row r="124" spans="5:5" x14ac:dyDescent="0.2">
      <c r="E124" s="522"/>
    </row>
    <row r="125" spans="5:5" x14ac:dyDescent="0.2">
      <c r="E125" s="522"/>
    </row>
    <row r="126" spans="5:5" x14ac:dyDescent="0.2">
      <c r="E126" s="522"/>
    </row>
    <row r="127" spans="5:5" x14ac:dyDescent="0.2">
      <c r="E127" s="522"/>
    </row>
    <row r="128" spans="5:5" x14ac:dyDescent="0.2">
      <c r="E128" s="522"/>
    </row>
    <row r="129" spans="5:5" x14ac:dyDescent="0.2">
      <c r="E129" s="522"/>
    </row>
    <row r="130" spans="5:5" x14ac:dyDescent="0.2">
      <c r="E130" s="522"/>
    </row>
    <row r="131" spans="5:5" x14ac:dyDescent="0.2">
      <c r="E131" s="522"/>
    </row>
    <row r="132" spans="5:5" x14ac:dyDescent="0.2">
      <c r="E132" s="522"/>
    </row>
    <row r="133" spans="5:5" x14ac:dyDescent="0.2">
      <c r="E133" s="522"/>
    </row>
    <row r="134" spans="5:5" x14ac:dyDescent="0.2">
      <c r="E134" s="522"/>
    </row>
    <row r="135" spans="5:5" x14ac:dyDescent="0.2">
      <c r="E135" s="522"/>
    </row>
    <row r="136" spans="5:5" x14ac:dyDescent="0.2">
      <c r="E136" s="522"/>
    </row>
    <row r="137" spans="5:5" x14ac:dyDescent="0.2">
      <c r="E137" s="522"/>
    </row>
    <row r="138" spans="5:5" x14ac:dyDescent="0.2">
      <c r="E138" s="522"/>
    </row>
    <row r="139" spans="5:5" x14ac:dyDescent="0.2">
      <c r="E139" s="522"/>
    </row>
    <row r="140" spans="5:5" x14ac:dyDescent="0.2">
      <c r="E140" s="522"/>
    </row>
    <row r="141" spans="5:5" x14ac:dyDescent="0.2">
      <c r="E141" s="522"/>
    </row>
    <row r="142" spans="5:5" x14ac:dyDescent="0.2">
      <c r="E142" s="522"/>
    </row>
    <row r="143" spans="5:5" x14ac:dyDescent="0.2">
      <c r="E143" s="522"/>
    </row>
    <row r="144" spans="5:5" x14ac:dyDescent="0.2">
      <c r="E144" s="522"/>
    </row>
    <row r="145" spans="5:5" x14ac:dyDescent="0.2">
      <c r="E145" s="522"/>
    </row>
    <row r="146" spans="5:5" x14ac:dyDescent="0.2">
      <c r="E146" s="522"/>
    </row>
    <row r="147" spans="5:5" x14ac:dyDescent="0.2">
      <c r="E147" s="522"/>
    </row>
    <row r="148" spans="5:5" x14ac:dyDescent="0.2">
      <c r="E148" s="522"/>
    </row>
    <row r="149" spans="5:5" x14ac:dyDescent="0.2">
      <c r="E149" s="522"/>
    </row>
    <row r="150" spans="5:5" x14ac:dyDescent="0.2">
      <c r="E150" s="522"/>
    </row>
    <row r="151" spans="5:5" x14ac:dyDescent="0.2">
      <c r="E151" s="522"/>
    </row>
    <row r="152" spans="5:5" x14ac:dyDescent="0.2">
      <c r="E152" s="522"/>
    </row>
    <row r="153" spans="5:5" x14ac:dyDescent="0.2">
      <c r="E153" s="522"/>
    </row>
    <row r="154" spans="5:5" x14ac:dyDescent="0.2">
      <c r="E154" s="522"/>
    </row>
    <row r="155" spans="5:5" x14ac:dyDescent="0.2">
      <c r="E155" s="522"/>
    </row>
    <row r="156" spans="5:5" x14ac:dyDescent="0.2">
      <c r="E156" s="522"/>
    </row>
    <row r="157" spans="5:5" x14ac:dyDescent="0.2">
      <c r="E157" s="522"/>
    </row>
    <row r="158" spans="5:5" x14ac:dyDescent="0.2">
      <c r="E158" s="522"/>
    </row>
    <row r="159" spans="5:5" x14ac:dyDescent="0.2">
      <c r="E159" s="522"/>
    </row>
    <row r="160" spans="5:5" x14ac:dyDescent="0.2">
      <c r="E160" s="522"/>
    </row>
    <row r="161" spans="5:5" x14ac:dyDescent="0.2">
      <c r="E161" s="522"/>
    </row>
    <row r="162" spans="5:5" x14ac:dyDescent="0.2">
      <c r="E162" s="522"/>
    </row>
    <row r="163" spans="5:5" x14ac:dyDescent="0.2">
      <c r="E163" s="522"/>
    </row>
    <row r="164" spans="5:5" x14ac:dyDescent="0.2">
      <c r="E164" s="522"/>
    </row>
    <row r="165" spans="5:5" x14ac:dyDescent="0.2">
      <c r="E165" s="522"/>
    </row>
    <row r="166" spans="5:5" x14ac:dyDescent="0.2">
      <c r="E166" s="522"/>
    </row>
    <row r="167" spans="5:5" x14ac:dyDescent="0.2">
      <c r="E167" s="522"/>
    </row>
    <row r="168" spans="5:5" x14ac:dyDescent="0.2">
      <c r="E168" s="522"/>
    </row>
    <row r="169" spans="5:5" x14ac:dyDescent="0.2">
      <c r="E169" s="522"/>
    </row>
    <row r="170" spans="5:5" x14ac:dyDescent="0.2">
      <c r="E170" s="522"/>
    </row>
    <row r="171" spans="5:5" x14ac:dyDescent="0.2">
      <c r="E171" s="522"/>
    </row>
    <row r="172" spans="5:5" x14ac:dyDescent="0.2">
      <c r="E172" s="522"/>
    </row>
    <row r="173" spans="5:5" x14ac:dyDescent="0.2">
      <c r="E173" s="522"/>
    </row>
    <row r="174" spans="5:5" x14ac:dyDescent="0.2">
      <c r="E174" s="522"/>
    </row>
    <row r="175" spans="5:5" x14ac:dyDescent="0.2">
      <c r="E175" s="522"/>
    </row>
    <row r="176" spans="5:5" x14ac:dyDescent="0.2">
      <c r="E176" s="522"/>
    </row>
    <row r="177" spans="5:5" x14ac:dyDescent="0.2">
      <c r="E177" s="522"/>
    </row>
    <row r="178" spans="5:5" x14ac:dyDescent="0.2">
      <c r="E178" s="522"/>
    </row>
    <row r="179" spans="5:5" x14ac:dyDescent="0.2">
      <c r="E179" s="522"/>
    </row>
    <row r="180" spans="5:5" x14ac:dyDescent="0.2">
      <c r="E180" s="522"/>
    </row>
    <row r="181" spans="5:5" x14ac:dyDescent="0.2">
      <c r="E181" s="522"/>
    </row>
    <row r="182" spans="5:5" x14ac:dyDescent="0.2">
      <c r="E182" s="522"/>
    </row>
    <row r="183" spans="5:5" x14ac:dyDescent="0.2">
      <c r="E183" s="522"/>
    </row>
    <row r="184" spans="5:5" x14ac:dyDescent="0.2">
      <c r="E184" s="522"/>
    </row>
    <row r="185" spans="5:5" x14ac:dyDescent="0.2">
      <c r="E185" s="522"/>
    </row>
    <row r="186" spans="5:5" x14ac:dyDescent="0.2">
      <c r="E186" s="522"/>
    </row>
    <row r="187" spans="5:5" x14ac:dyDescent="0.2">
      <c r="E187" s="522"/>
    </row>
    <row r="188" spans="5:5" x14ac:dyDescent="0.2">
      <c r="E188" s="522"/>
    </row>
    <row r="189" spans="5:5" x14ac:dyDescent="0.2">
      <c r="E189" s="522"/>
    </row>
    <row r="190" spans="5:5" x14ac:dyDescent="0.2">
      <c r="E190" s="522"/>
    </row>
    <row r="191" spans="5:5" x14ac:dyDescent="0.2">
      <c r="E191" s="522"/>
    </row>
    <row r="192" spans="5:5" x14ac:dyDescent="0.2">
      <c r="E192" s="522"/>
    </row>
    <row r="193" spans="5:5" x14ac:dyDescent="0.2">
      <c r="E193" s="522"/>
    </row>
    <row r="194" spans="5:5" x14ac:dyDescent="0.2">
      <c r="E194" s="522"/>
    </row>
    <row r="195" spans="5:5" x14ac:dyDescent="0.2">
      <c r="E195" s="522"/>
    </row>
    <row r="196" spans="5:5" x14ac:dyDescent="0.2">
      <c r="E196" s="522"/>
    </row>
    <row r="197" spans="5:5" x14ac:dyDescent="0.2">
      <c r="E197" s="522"/>
    </row>
    <row r="198" spans="5:5" x14ac:dyDescent="0.2">
      <c r="E198" s="522"/>
    </row>
    <row r="199" spans="5:5" x14ac:dyDescent="0.2">
      <c r="E199" s="522"/>
    </row>
    <row r="200" spans="5:5" x14ac:dyDescent="0.2">
      <c r="E200" s="522"/>
    </row>
    <row r="201" spans="5:5" x14ac:dyDescent="0.2">
      <c r="E201" s="522"/>
    </row>
    <row r="202" spans="5:5" x14ac:dyDescent="0.2">
      <c r="E202" s="522"/>
    </row>
    <row r="203" spans="5:5" x14ac:dyDescent="0.2">
      <c r="E203" s="522"/>
    </row>
    <row r="204" spans="5:5" x14ac:dyDescent="0.2">
      <c r="E204" s="522"/>
    </row>
    <row r="205" spans="5:5" x14ac:dyDescent="0.2">
      <c r="E205" s="522"/>
    </row>
    <row r="206" spans="5:5" x14ac:dyDescent="0.2">
      <c r="E206" s="522"/>
    </row>
    <row r="207" spans="5:5" x14ac:dyDescent="0.2">
      <c r="E207" s="522"/>
    </row>
    <row r="208" spans="5:5" x14ac:dyDescent="0.2">
      <c r="E208" s="522"/>
    </row>
    <row r="209" spans="5:5" x14ac:dyDescent="0.2">
      <c r="E209" s="522"/>
    </row>
    <row r="210" spans="5:5" x14ac:dyDescent="0.2">
      <c r="E210" s="522"/>
    </row>
    <row r="211" spans="5:5" x14ac:dyDescent="0.2">
      <c r="E211" s="522"/>
    </row>
    <row r="212" spans="5:5" x14ac:dyDescent="0.2">
      <c r="E212" s="522"/>
    </row>
    <row r="213" spans="5:5" x14ac:dyDescent="0.2">
      <c r="E213" s="522"/>
    </row>
    <row r="214" spans="5:5" x14ac:dyDescent="0.2">
      <c r="E214" s="522"/>
    </row>
    <row r="215" spans="5:5" x14ac:dyDescent="0.2">
      <c r="E215" s="522"/>
    </row>
    <row r="216" spans="5:5" x14ac:dyDescent="0.2">
      <c r="E216" s="522"/>
    </row>
    <row r="217" spans="5:5" x14ac:dyDescent="0.2">
      <c r="E217" s="522"/>
    </row>
    <row r="218" spans="5:5" x14ac:dyDescent="0.2">
      <c r="E218" s="522"/>
    </row>
    <row r="219" spans="5:5" x14ac:dyDescent="0.2">
      <c r="E219" s="522"/>
    </row>
    <row r="220" spans="5:5" x14ac:dyDescent="0.2">
      <c r="E220" s="522"/>
    </row>
    <row r="221" spans="5:5" x14ac:dyDescent="0.2">
      <c r="E221" s="522"/>
    </row>
    <row r="222" spans="5:5" x14ac:dyDescent="0.2">
      <c r="E222" s="522"/>
    </row>
    <row r="223" spans="5:5" x14ac:dyDescent="0.2">
      <c r="E223" s="522"/>
    </row>
    <row r="224" spans="5:5" x14ac:dyDescent="0.2">
      <c r="E224" s="522"/>
    </row>
    <row r="225" spans="5:5" x14ac:dyDescent="0.2">
      <c r="E225" s="522"/>
    </row>
    <row r="226" spans="5:5" x14ac:dyDescent="0.2">
      <c r="E226" s="522"/>
    </row>
    <row r="227" spans="5:5" x14ac:dyDescent="0.2">
      <c r="E227" s="522"/>
    </row>
    <row r="228" spans="5:5" x14ac:dyDescent="0.2">
      <c r="E228" s="522"/>
    </row>
    <row r="229" spans="5:5" x14ac:dyDescent="0.2">
      <c r="E229" s="522"/>
    </row>
    <row r="230" spans="5:5" x14ac:dyDescent="0.2">
      <c r="E230" s="522"/>
    </row>
    <row r="231" spans="5:5" x14ac:dyDescent="0.2">
      <c r="E231" s="522"/>
    </row>
    <row r="232" spans="5:5" x14ac:dyDescent="0.2">
      <c r="E232" s="522"/>
    </row>
    <row r="233" spans="5:5" x14ac:dyDescent="0.2">
      <c r="E233" s="522"/>
    </row>
    <row r="234" spans="5:5" x14ac:dyDescent="0.2">
      <c r="E234" s="522"/>
    </row>
    <row r="235" spans="5:5" x14ac:dyDescent="0.2">
      <c r="E235" s="522"/>
    </row>
    <row r="236" spans="5:5" x14ac:dyDescent="0.2">
      <c r="E236" s="522"/>
    </row>
    <row r="237" spans="5:5" x14ac:dyDescent="0.2">
      <c r="E237" s="522"/>
    </row>
    <row r="238" spans="5:5" x14ac:dyDescent="0.2">
      <c r="E238" s="522"/>
    </row>
    <row r="239" spans="5:5" x14ac:dyDescent="0.2">
      <c r="E239" s="522"/>
    </row>
    <row r="240" spans="5:5" x14ac:dyDescent="0.2">
      <c r="E240" s="522"/>
    </row>
    <row r="241" spans="5:5" x14ac:dyDescent="0.2">
      <c r="E241" s="522"/>
    </row>
    <row r="242" spans="5:5" x14ac:dyDescent="0.2">
      <c r="E242" s="522"/>
    </row>
    <row r="243" spans="5:5" x14ac:dyDescent="0.2">
      <c r="E243" s="522"/>
    </row>
    <row r="244" spans="5:5" x14ac:dyDescent="0.2">
      <c r="E244" s="522"/>
    </row>
    <row r="245" spans="5:5" x14ac:dyDescent="0.2">
      <c r="E245" s="522"/>
    </row>
    <row r="246" spans="5:5" x14ac:dyDescent="0.2">
      <c r="E246" s="522"/>
    </row>
    <row r="247" spans="5:5" x14ac:dyDescent="0.2">
      <c r="E247" s="522"/>
    </row>
    <row r="248" spans="5:5" x14ac:dyDescent="0.2">
      <c r="E248" s="522"/>
    </row>
    <row r="249" spans="5:5" x14ac:dyDescent="0.2">
      <c r="E249" s="522"/>
    </row>
    <row r="250" spans="5:5" x14ac:dyDescent="0.2">
      <c r="E250" s="522"/>
    </row>
    <row r="251" spans="5:5" x14ac:dyDescent="0.2">
      <c r="E251" s="522"/>
    </row>
    <row r="252" spans="5:5" x14ac:dyDescent="0.2">
      <c r="E252" s="522"/>
    </row>
    <row r="253" spans="5:5" x14ac:dyDescent="0.2">
      <c r="E253" s="522"/>
    </row>
    <row r="254" spans="5:5" x14ac:dyDescent="0.2">
      <c r="E254" s="522"/>
    </row>
    <row r="255" spans="5:5" x14ac:dyDescent="0.2">
      <c r="E255" s="522"/>
    </row>
    <row r="256" spans="5:5" x14ac:dyDescent="0.2">
      <c r="E256" s="522"/>
    </row>
    <row r="257" spans="5:5" x14ac:dyDescent="0.2">
      <c r="E257" s="522"/>
    </row>
    <row r="258" spans="5:5" x14ac:dyDescent="0.2">
      <c r="E258" s="522"/>
    </row>
    <row r="259" spans="5:5" x14ac:dyDescent="0.2">
      <c r="E259" s="522"/>
    </row>
    <row r="260" spans="5:5" x14ac:dyDescent="0.2">
      <c r="E260" s="522"/>
    </row>
    <row r="261" spans="5:5" x14ac:dyDescent="0.2">
      <c r="E261" s="522"/>
    </row>
    <row r="262" spans="5:5" x14ac:dyDescent="0.2">
      <c r="E262" s="522"/>
    </row>
    <row r="263" spans="5:5" x14ac:dyDescent="0.2">
      <c r="E263" s="522"/>
    </row>
    <row r="264" spans="5:5" x14ac:dyDescent="0.2">
      <c r="E264" s="522"/>
    </row>
    <row r="265" spans="5:5" x14ac:dyDescent="0.2">
      <c r="E265" s="522"/>
    </row>
    <row r="266" spans="5:5" x14ac:dyDescent="0.2">
      <c r="E266" s="522"/>
    </row>
    <row r="267" spans="5:5" x14ac:dyDescent="0.2">
      <c r="E267" s="522"/>
    </row>
    <row r="268" spans="5:5" x14ac:dyDescent="0.2">
      <c r="E268" s="522"/>
    </row>
    <row r="269" spans="5:5" x14ac:dyDescent="0.2">
      <c r="E269" s="522"/>
    </row>
    <row r="270" spans="5:5" x14ac:dyDescent="0.2">
      <c r="E270" s="522"/>
    </row>
    <row r="271" spans="5:5" x14ac:dyDescent="0.2">
      <c r="E271" s="522"/>
    </row>
    <row r="272" spans="5:5" x14ac:dyDescent="0.2">
      <c r="E272" s="522"/>
    </row>
    <row r="273" spans="5:5" x14ac:dyDescent="0.2">
      <c r="E273" s="522"/>
    </row>
    <row r="274" spans="5:5" x14ac:dyDescent="0.2">
      <c r="E274" s="522"/>
    </row>
    <row r="275" spans="5:5" x14ac:dyDescent="0.2">
      <c r="E275" s="522"/>
    </row>
    <row r="276" spans="5:5" x14ac:dyDescent="0.2">
      <c r="E276" s="522"/>
    </row>
    <row r="277" spans="5:5" x14ac:dyDescent="0.2">
      <c r="E277" s="522"/>
    </row>
    <row r="278" spans="5:5" x14ac:dyDescent="0.2">
      <c r="E278" s="524"/>
    </row>
    <row r="279" spans="5:5" x14ac:dyDescent="0.2">
      <c r="E279" s="524"/>
    </row>
    <row r="280" spans="5:5" x14ac:dyDescent="0.2">
      <c r="E280" s="524"/>
    </row>
    <row r="281" spans="5:5" x14ac:dyDescent="0.2">
      <c r="E281" s="524"/>
    </row>
    <row r="282" spans="5:5" x14ac:dyDescent="0.2">
      <c r="E282" s="524"/>
    </row>
  </sheetData>
  <mergeCells count="16">
    <mergeCell ref="A2:N2"/>
    <mergeCell ref="A1:N1"/>
    <mergeCell ref="M4:N4"/>
    <mergeCell ref="M5:M6"/>
    <mergeCell ref="N5:N6"/>
    <mergeCell ref="K4:L4"/>
    <mergeCell ref="A4:A6"/>
    <mergeCell ref="K5:K6"/>
    <mergeCell ref="L5:L6"/>
    <mergeCell ref="J5:J6"/>
    <mergeCell ref="C5:E5"/>
    <mergeCell ref="F5:F6"/>
    <mergeCell ref="G5:I5"/>
    <mergeCell ref="B4:B6"/>
    <mergeCell ref="C4:F4"/>
    <mergeCell ref="G4:J4"/>
  </mergeCells>
  <conditionalFormatting sqref="F12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{45CAD6BF-07C4-40D7-862C-F62FD5704446}</x14:id>
        </ext>
      </extLst>
    </cfRule>
  </conditionalFormatting>
  <conditionalFormatting sqref="F12:F14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{EFC1B223-52C3-4EBC-8791-8E5CFF84C2CD}</x14:id>
        </ext>
      </extLst>
    </cfRule>
  </conditionalFormatting>
  <conditionalFormatting sqref="J12:J1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{6EF4069D-A2F6-447F-845D-1482F5C4FB41}</x14:id>
        </ext>
      </extLst>
    </cfRule>
  </conditionalFormatting>
  <conditionalFormatting sqref="L12:L14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{2B562298-7146-4CE7-BBE5-1A5D9391E917}</x14:id>
        </ext>
      </extLs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5CAD6BF-07C4-40D7-862C-F62FD570444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F12</xm:sqref>
        </x14:conditionalFormatting>
        <x14:conditionalFormatting xmlns:xm="http://schemas.microsoft.com/office/excel/2006/main">
          <x14:cfRule type="dataBar" id="{EFC1B223-52C3-4EBC-8791-8E5CFF84C2C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F12:F14</xm:sqref>
        </x14:conditionalFormatting>
        <x14:conditionalFormatting xmlns:xm="http://schemas.microsoft.com/office/excel/2006/main">
          <x14:cfRule type="dataBar" id="{6EF4069D-A2F6-447F-845D-1482F5C4FB4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J12:J14</xm:sqref>
        </x14:conditionalFormatting>
        <x14:conditionalFormatting xmlns:xm="http://schemas.microsoft.com/office/excel/2006/main">
          <x14:cfRule type="dataBar" id="{2B562298-7146-4CE7-BBE5-1A5D9391E91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L12:L14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4"/>
  <sheetViews>
    <sheetView tabSelected="1" zoomScale="95" zoomScaleNormal="95" workbookViewId="0">
      <selection activeCell="I14" sqref="I14"/>
    </sheetView>
  </sheetViews>
  <sheetFormatPr defaultRowHeight="15" x14ac:dyDescent="0.25"/>
  <cols>
    <col min="1" max="1" width="11.140625" customWidth="1"/>
    <col min="2" max="2" width="14.140625" style="1" customWidth="1"/>
    <col min="3" max="3" width="7.7109375" style="1" customWidth="1"/>
    <col min="4" max="4" width="7.85546875" style="1" customWidth="1"/>
    <col min="5" max="5" width="9" style="1" customWidth="1"/>
    <col min="6" max="6" width="8.140625" style="1" customWidth="1"/>
    <col min="7" max="7" width="9.7109375" style="1" customWidth="1"/>
    <col min="8" max="8" width="12.42578125" style="1" customWidth="1"/>
    <col min="9" max="9" width="8.42578125" bestFit="1" customWidth="1"/>
    <col min="10" max="10" width="12.85546875" customWidth="1"/>
    <col min="11" max="11" width="12.7109375" customWidth="1"/>
    <col min="12" max="12" width="9.5703125" customWidth="1"/>
    <col min="13" max="13" width="9.140625" customWidth="1"/>
    <col min="14" max="14" width="9.28515625" customWidth="1"/>
    <col min="15" max="15" width="9.7109375" customWidth="1"/>
    <col min="16" max="16" width="9.5703125" customWidth="1"/>
    <col min="17" max="17" width="14.28515625" bestFit="1" customWidth="1"/>
    <col min="18" max="18" width="9.42578125" customWidth="1"/>
    <col min="19" max="19" width="17.85546875" customWidth="1"/>
    <col min="20" max="20" width="12.85546875" customWidth="1"/>
    <col min="21" max="21" width="10.7109375" customWidth="1"/>
    <col min="22" max="22" width="10.5703125" customWidth="1"/>
    <col min="23" max="23" width="11.140625" customWidth="1"/>
    <col min="24" max="24" width="10.5703125" customWidth="1"/>
    <col min="25" max="25" width="12.42578125" customWidth="1"/>
    <col min="26" max="26" width="14.42578125" customWidth="1"/>
    <col min="27" max="27" width="13.42578125" customWidth="1"/>
    <col min="29" max="29" width="14.7109375" bestFit="1" customWidth="1"/>
  </cols>
  <sheetData>
    <row r="1" spans="1:33" ht="26.25" customHeight="1" x14ac:dyDescent="0.35">
      <c r="A1" s="471" t="s">
        <v>100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S1" s="471"/>
      <c r="T1" s="471"/>
      <c r="U1" s="471"/>
      <c r="V1" s="471"/>
      <c r="W1" s="471"/>
      <c r="X1" s="471"/>
      <c r="Y1" s="471"/>
      <c r="Z1" s="471"/>
      <c r="AA1" s="471"/>
    </row>
    <row r="2" spans="1:33" x14ac:dyDescent="0.25">
      <c r="Q2" s="1"/>
    </row>
    <row r="3" spans="1:33" s="8" customFormat="1" ht="21" customHeight="1" x14ac:dyDescent="0.3">
      <c r="A3" s="1231" t="s">
        <v>595</v>
      </c>
      <c r="B3" s="1231"/>
      <c r="C3" s="1231"/>
      <c r="D3" s="1231"/>
      <c r="E3" s="1231"/>
      <c r="F3" s="1231"/>
      <c r="G3" s="1231"/>
      <c r="H3" s="1231"/>
      <c r="I3"/>
      <c r="J3" s="482" t="s">
        <v>0</v>
      </c>
      <c r="Q3" s="7"/>
      <c r="S3" s="8" t="s">
        <v>105</v>
      </c>
    </row>
    <row r="4" spans="1:33" ht="30" x14ac:dyDescent="0.25">
      <c r="A4" s="183" t="s">
        <v>1</v>
      </c>
      <c r="B4" s="184" t="s">
        <v>2</v>
      </c>
      <c r="C4" s="184" t="s">
        <v>3</v>
      </c>
      <c r="D4" s="184" t="s">
        <v>4</v>
      </c>
      <c r="E4" s="184" t="s">
        <v>5</v>
      </c>
      <c r="F4" s="184" t="s">
        <v>6</v>
      </c>
      <c r="G4" s="292" t="s">
        <v>7</v>
      </c>
      <c r="H4" s="185" t="s">
        <v>19</v>
      </c>
      <c r="J4" s="197" t="s">
        <v>1</v>
      </c>
      <c r="K4" s="198" t="s">
        <v>2</v>
      </c>
      <c r="L4" s="198" t="s">
        <v>3</v>
      </c>
      <c r="M4" s="198" t="s">
        <v>4</v>
      </c>
      <c r="N4" s="198" t="s">
        <v>5</v>
      </c>
      <c r="O4" s="198" t="s">
        <v>6</v>
      </c>
      <c r="P4" s="313" t="s">
        <v>7</v>
      </c>
      <c r="Q4" s="199" t="s">
        <v>19</v>
      </c>
      <c r="R4" s="2"/>
      <c r="S4" s="10" t="s">
        <v>1</v>
      </c>
      <c r="T4" s="11" t="s">
        <v>2</v>
      </c>
      <c r="U4" s="11" t="s">
        <v>3</v>
      </c>
      <c r="V4" s="11" t="s">
        <v>4</v>
      </c>
      <c r="W4" s="11" t="s">
        <v>5</v>
      </c>
      <c r="X4" s="11" t="s">
        <v>6</v>
      </c>
      <c r="Y4" s="12" t="s">
        <v>7</v>
      </c>
      <c r="Z4" s="12" t="s">
        <v>19</v>
      </c>
      <c r="AA4" s="15" t="s">
        <v>23</v>
      </c>
    </row>
    <row r="5" spans="1:33" s="6" customFormat="1" x14ac:dyDescent="0.25">
      <c r="A5" s="186" t="s">
        <v>8</v>
      </c>
      <c r="B5" s="187">
        <v>344200</v>
      </c>
      <c r="C5" s="187">
        <v>131460</v>
      </c>
      <c r="D5" s="187">
        <v>24960</v>
      </c>
      <c r="E5" s="187">
        <v>27570</v>
      </c>
      <c r="F5" s="187">
        <v>0</v>
      </c>
      <c r="G5" s="293">
        <f>C5+D5+E5+F5</f>
        <v>183990</v>
      </c>
      <c r="H5" s="187">
        <v>434600</v>
      </c>
      <c r="I5" s="2"/>
      <c r="J5" s="200" t="s">
        <v>8</v>
      </c>
      <c r="K5" s="201">
        <f>'NDoH Outstanding Orders'!E58</f>
        <v>0</v>
      </c>
      <c r="L5" s="201">
        <f>'NDoH Outstanding Orders'!F58</f>
        <v>0</v>
      </c>
      <c r="M5" s="201">
        <f>'NDoH Outstanding Orders'!G58</f>
        <v>0</v>
      </c>
      <c r="N5" s="201">
        <f>'NDoH Outstanding Orders'!H58</f>
        <v>2160</v>
      </c>
      <c r="O5" s="201">
        <f>'NDoH Outstanding Orders'!I58</f>
        <v>2160</v>
      </c>
      <c r="P5" s="196">
        <f t="shared" ref="P5:P11" si="0">L5+M5+N5+O5</f>
        <v>4320</v>
      </c>
      <c r="Q5" s="201">
        <f>'NDoH Outstanding Orders'!K58</f>
        <v>0</v>
      </c>
      <c r="S5" s="13" t="s">
        <v>8</v>
      </c>
      <c r="T5" s="14">
        <f>B5+K5</f>
        <v>344200</v>
      </c>
      <c r="U5" s="14">
        <f t="shared" ref="T5:Z12" si="1">C5+L5</f>
        <v>131460</v>
      </c>
      <c r="V5" s="14">
        <f t="shared" si="1"/>
        <v>24960</v>
      </c>
      <c r="W5" s="14">
        <f t="shared" si="1"/>
        <v>29730</v>
      </c>
      <c r="X5" s="14">
        <f t="shared" si="1"/>
        <v>2160</v>
      </c>
      <c r="Y5" s="14">
        <f t="shared" si="1"/>
        <v>188310</v>
      </c>
      <c r="Z5" s="14">
        <f t="shared" si="1"/>
        <v>434600</v>
      </c>
      <c r="AA5" s="16">
        <f>U5+(V5*2)+(W5*3)+(X5*4)</f>
        <v>279210</v>
      </c>
      <c r="AC5"/>
      <c r="AD5"/>
      <c r="AE5"/>
      <c r="AF5"/>
      <c r="AG5"/>
    </row>
    <row r="6" spans="1:33" s="6" customFormat="1" x14ac:dyDescent="0.25">
      <c r="A6" s="186" t="s">
        <v>9</v>
      </c>
      <c r="B6" s="187">
        <v>254625</v>
      </c>
      <c r="C6" s="187">
        <v>3090</v>
      </c>
      <c r="D6" s="187">
        <v>16230</v>
      </c>
      <c r="E6" s="187">
        <v>14010</v>
      </c>
      <c r="F6" s="187">
        <v>14940</v>
      </c>
      <c r="G6" s="293">
        <f>C6+D6+E6+F6</f>
        <v>48270</v>
      </c>
      <c r="H6" s="187">
        <v>70700</v>
      </c>
      <c r="I6" s="2"/>
      <c r="J6" s="200" t="s">
        <v>9</v>
      </c>
      <c r="K6" s="201">
        <f>'NDoH Outstanding Orders'!E100</f>
        <v>0</v>
      </c>
      <c r="L6" s="201">
        <f>'NDoH Outstanding Orders'!F100</f>
        <v>0</v>
      </c>
      <c r="M6" s="201">
        <f>'NDoH Outstanding Orders'!G100</f>
        <v>0</v>
      </c>
      <c r="N6" s="201">
        <f>'NDoH Outstanding Orders'!H100</f>
        <v>0</v>
      </c>
      <c r="O6" s="201">
        <f>'NDoH Outstanding Orders'!I100</f>
        <v>0</v>
      </c>
      <c r="P6" s="196">
        <f t="shared" si="0"/>
        <v>0</v>
      </c>
      <c r="Q6" s="201">
        <f>'NDoH Outstanding Orders'!K100</f>
        <v>167400</v>
      </c>
      <c r="S6" s="13" t="s">
        <v>9</v>
      </c>
      <c r="T6" s="14">
        <f t="shared" si="1"/>
        <v>254625</v>
      </c>
      <c r="U6" s="14">
        <f>C6+L6</f>
        <v>3090</v>
      </c>
      <c r="V6" s="14">
        <f t="shared" si="1"/>
        <v>16230</v>
      </c>
      <c r="W6" s="14">
        <f t="shared" si="1"/>
        <v>14010</v>
      </c>
      <c r="X6" s="14">
        <f t="shared" si="1"/>
        <v>14940</v>
      </c>
      <c r="Y6" s="14">
        <f t="shared" si="1"/>
        <v>48270</v>
      </c>
      <c r="Z6" s="14">
        <f t="shared" si="1"/>
        <v>238100</v>
      </c>
      <c r="AA6" s="16">
        <f t="shared" ref="AA6:AA12" si="2">U6+(V6*2)+(W6*3)+(X6*4)</f>
        <v>137340</v>
      </c>
      <c r="AC6"/>
      <c r="AD6"/>
      <c r="AE6"/>
      <c r="AF6"/>
      <c r="AG6"/>
    </row>
    <row r="7" spans="1:33" s="6" customFormat="1" x14ac:dyDescent="0.25">
      <c r="A7" s="186" t="s">
        <v>11</v>
      </c>
      <c r="B7" s="187">
        <v>263750</v>
      </c>
      <c r="C7" s="187">
        <v>17490</v>
      </c>
      <c r="D7" s="187">
        <v>18030</v>
      </c>
      <c r="E7" s="187">
        <v>19410</v>
      </c>
      <c r="F7" s="187">
        <v>24060</v>
      </c>
      <c r="G7" s="293">
        <f>C7+D7+E7+F7</f>
        <v>78990</v>
      </c>
      <c r="H7" s="187">
        <v>15000</v>
      </c>
      <c r="I7" s="2"/>
      <c r="J7" s="200" t="s">
        <v>11</v>
      </c>
      <c r="K7" s="201">
        <f>'NDoH Outstanding Orders'!E137</f>
        <v>0</v>
      </c>
      <c r="L7" s="201">
        <f>'NDoH Outstanding Orders'!F137</f>
        <v>0</v>
      </c>
      <c r="M7" s="201">
        <f>'NDoH Outstanding Orders'!G137</f>
        <v>0</v>
      </c>
      <c r="N7" s="201">
        <f>'NDoH Outstanding Orders'!H137</f>
        <v>0</v>
      </c>
      <c r="O7" s="201">
        <f>'NDoH Outstanding Orders'!I137</f>
        <v>0</v>
      </c>
      <c r="P7" s="196">
        <f t="shared" si="0"/>
        <v>0</v>
      </c>
      <c r="Q7" s="201">
        <f>'NDoH Outstanding Orders'!K137</f>
        <v>1100</v>
      </c>
      <c r="S7" s="13" t="s">
        <v>11</v>
      </c>
      <c r="T7" s="14">
        <f>B7+K7</f>
        <v>263750</v>
      </c>
      <c r="U7" s="14">
        <f>C7+L7</f>
        <v>17490</v>
      </c>
      <c r="V7" s="14">
        <f>D7+M7</f>
        <v>18030</v>
      </c>
      <c r="W7" s="14">
        <f>E7+N7</f>
        <v>19410</v>
      </c>
      <c r="X7" s="14">
        <f>F7+O7</f>
        <v>24060</v>
      </c>
      <c r="Y7" s="14">
        <f>G7+P7</f>
        <v>78990</v>
      </c>
      <c r="Z7" s="14">
        <f>H7+Q7</f>
        <v>16100</v>
      </c>
      <c r="AA7" s="16">
        <f>U7+(V7*2)+(W7*3)+(X7*4)</f>
        <v>208020</v>
      </c>
      <c r="AC7"/>
      <c r="AD7"/>
      <c r="AE7"/>
      <c r="AF7"/>
      <c r="AG7"/>
    </row>
    <row r="8" spans="1:33" s="6" customFormat="1" x14ac:dyDescent="0.25">
      <c r="A8" s="186" t="s">
        <v>10</v>
      </c>
      <c r="B8" s="187">
        <v>380875</v>
      </c>
      <c r="C8" s="187">
        <v>9720</v>
      </c>
      <c r="D8" s="187">
        <v>9360</v>
      </c>
      <c r="E8" s="187">
        <v>12000</v>
      </c>
      <c r="F8" s="187">
        <v>3000</v>
      </c>
      <c r="G8" s="293">
        <f>C8+D8+E8+F8</f>
        <v>34080</v>
      </c>
      <c r="H8" s="187">
        <v>1200000</v>
      </c>
      <c r="I8" s="2"/>
      <c r="J8" s="200" t="s">
        <v>10</v>
      </c>
      <c r="K8" s="201">
        <f>'NDoH Outstanding Orders'!E185</f>
        <v>0</v>
      </c>
      <c r="L8" s="201">
        <f>'NDoH Outstanding Orders'!F185</f>
        <v>105000</v>
      </c>
      <c r="M8" s="201">
        <f>'NDoH Outstanding Orders'!G185</f>
        <v>96000</v>
      </c>
      <c r="N8" s="201">
        <f>'NDoH Outstanding Orders'!H185</f>
        <v>0</v>
      </c>
      <c r="O8" s="201">
        <f>'NDoH Outstanding Orders'!I185</f>
        <v>0</v>
      </c>
      <c r="P8" s="196">
        <f>L8+M8+N8+O8</f>
        <v>201000</v>
      </c>
      <c r="Q8" s="201">
        <f>'NDoH Outstanding Orders'!K185</f>
        <v>0</v>
      </c>
      <c r="S8" s="13" t="s">
        <v>10</v>
      </c>
      <c r="T8" s="14">
        <f t="shared" si="1"/>
        <v>380875</v>
      </c>
      <c r="U8" s="14">
        <f t="shared" si="1"/>
        <v>114720</v>
      </c>
      <c r="V8" s="14">
        <f t="shared" si="1"/>
        <v>105360</v>
      </c>
      <c r="W8" s="14">
        <f t="shared" si="1"/>
        <v>12000</v>
      </c>
      <c r="X8" s="14">
        <f t="shared" si="1"/>
        <v>3000</v>
      </c>
      <c r="Y8" s="14">
        <f t="shared" si="1"/>
        <v>235080</v>
      </c>
      <c r="Z8" s="14">
        <v>80000</v>
      </c>
      <c r="AA8" s="16">
        <f t="shared" si="2"/>
        <v>373440</v>
      </c>
      <c r="AC8"/>
      <c r="AD8"/>
      <c r="AE8"/>
      <c r="AF8"/>
      <c r="AG8"/>
    </row>
    <row r="9" spans="1:33" s="6" customFormat="1" x14ac:dyDescent="0.25">
      <c r="A9" s="186" t="s">
        <v>12</v>
      </c>
      <c r="B9" s="187">
        <v>250025</v>
      </c>
      <c r="C9" s="187">
        <v>7530</v>
      </c>
      <c r="D9" s="187">
        <v>11520</v>
      </c>
      <c r="E9" s="187">
        <v>37230</v>
      </c>
      <c r="F9" s="188">
        <v>13050</v>
      </c>
      <c r="G9" s="293">
        <f>C9+D9+E9+F9</f>
        <v>69330</v>
      </c>
      <c r="H9" s="187">
        <v>146000</v>
      </c>
      <c r="I9" s="2"/>
      <c r="J9" s="200" t="s">
        <v>12</v>
      </c>
      <c r="K9" s="201">
        <f>'NDoH Outstanding Orders'!E242</f>
        <v>58825</v>
      </c>
      <c r="L9" s="201">
        <f>'NDoH Outstanding Orders'!F242</f>
        <v>3000</v>
      </c>
      <c r="M9" s="201">
        <f>'NDoH Outstanding Orders'!G242</f>
        <v>0</v>
      </c>
      <c r="N9" s="201">
        <f>'NDoH Outstanding Orders'!H242</f>
        <v>0</v>
      </c>
      <c r="O9" s="201">
        <f>'NDoH Outstanding Orders'!I242</f>
        <v>120</v>
      </c>
      <c r="P9" s="196">
        <f t="shared" si="0"/>
        <v>3120</v>
      </c>
      <c r="Q9" s="201">
        <f>'NDoH Outstanding Orders'!K242</f>
        <v>0</v>
      </c>
      <c r="S9" s="13" t="s">
        <v>12</v>
      </c>
      <c r="T9" s="14">
        <f>B9+K9</f>
        <v>308850</v>
      </c>
      <c r="U9" s="14">
        <f t="shared" si="1"/>
        <v>10530</v>
      </c>
      <c r="V9" s="14">
        <f t="shared" si="1"/>
        <v>11520</v>
      </c>
      <c r="W9" s="14">
        <f t="shared" si="1"/>
        <v>37230</v>
      </c>
      <c r="X9" s="14">
        <f t="shared" si="1"/>
        <v>13170</v>
      </c>
      <c r="Y9" s="14">
        <f t="shared" si="1"/>
        <v>72450</v>
      </c>
      <c r="Z9" s="14">
        <f t="shared" si="1"/>
        <v>146000</v>
      </c>
      <c r="AA9" s="16">
        <f t="shared" si="2"/>
        <v>197940</v>
      </c>
    </row>
    <row r="10" spans="1:33" s="122" customFormat="1" x14ac:dyDescent="0.25">
      <c r="A10" s="147" t="s">
        <v>13</v>
      </c>
      <c r="B10" s="148">
        <f t="shared" ref="B10:F10" si="3">SUM(B5:B9)</f>
        <v>1493475</v>
      </c>
      <c r="C10" s="148">
        <f t="shared" si="3"/>
        <v>169290</v>
      </c>
      <c r="D10" s="148">
        <f t="shared" si="3"/>
        <v>80100</v>
      </c>
      <c r="E10" s="148">
        <f t="shared" si="3"/>
        <v>110220</v>
      </c>
      <c r="F10" s="148">
        <f t="shared" si="3"/>
        <v>55050</v>
      </c>
      <c r="G10" s="294">
        <f>SUM(G5:G9)</f>
        <v>414660</v>
      </c>
      <c r="H10" s="148">
        <f>SUM(H5:H9)</f>
        <v>1866300</v>
      </c>
      <c r="I10" s="2"/>
      <c r="J10" s="147" t="s">
        <v>13</v>
      </c>
      <c r="K10" s="148">
        <f>SUM(K5:K9)</f>
        <v>58825</v>
      </c>
      <c r="L10" s="148">
        <f>SUM(L5:L9)</f>
        <v>108000</v>
      </c>
      <c r="M10" s="148">
        <f>SUM(M5:M9)</f>
        <v>96000</v>
      </c>
      <c r="N10" s="148">
        <f>SUM(N5:N9)</f>
        <v>2160</v>
      </c>
      <c r="O10" s="148">
        <f>SUM(O5:O9)</f>
        <v>2280</v>
      </c>
      <c r="P10" s="314">
        <f>L10+M10+N10+O10</f>
        <v>208440</v>
      </c>
      <c r="Q10" s="148">
        <f>SUM(Q5:Q9)</f>
        <v>168500</v>
      </c>
      <c r="S10" s="147" t="s">
        <v>13</v>
      </c>
      <c r="T10" s="148">
        <f t="shared" si="1"/>
        <v>1552300</v>
      </c>
      <c r="U10" s="148">
        <f t="shared" si="1"/>
        <v>277290</v>
      </c>
      <c r="V10" s="148">
        <f t="shared" si="1"/>
        <v>176100</v>
      </c>
      <c r="W10" s="148">
        <f t="shared" si="1"/>
        <v>112380</v>
      </c>
      <c r="X10" s="148">
        <f t="shared" si="1"/>
        <v>57330</v>
      </c>
      <c r="Y10" s="148">
        <f t="shared" si="1"/>
        <v>623100</v>
      </c>
      <c r="Z10" s="148">
        <f t="shared" si="1"/>
        <v>2034800</v>
      </c>
      <c r="AA10" s="148">
        <f t="shared" si="2"/>
        <v>1195950</v>
      </c>
      <c r="AC10" s="6"/>
    </row>
    <row r="11" spans="1:33" s="122" customFormat="1" x14ac:dyDescent="0.25">
      <c r="A11" s="147" t="s">
        <v>293</v>
      </c>
      <c r="B11" s="180">
        <v>68275</v>
      </c>
      <c r="C11" s="181">
        <v>24480</v>
      </c>
      <c r="D11" s="181">
        <v>227880</v>
      </c>
      <c r="E11" s="181">
        <v>0</v>
      </c>
      <c r="F11" s="181">
        <v>252540</v>
      </c>
      <c r="G11" s="294">
        <f>C11+D11+E11+F11</f>
        <v>504900</v>
      </c>
      <c r="H11" s="148">
        <v>0</v>
      </c>
      <c r="I11" s="1155"/>
      <c r="J11" s="147" t="s">
        <v>293</v>
      </c>
      <c r="K11" s="148">
        <v>0</v>
      </c>
      <c r="L11" s="148">
        <f>'RAM-GF_PROC.-2021 REQ.ACT-RDT'!E31</f>
        <v>0</v>
      </c>
      <c r="M11" s="148">
        <f>'RAM-GF_PROC.-2021 REQ.ACT-RDT'!F31</f>
        <v>0</v>
      </c>
      <c r="N11" s="148">
        <f>'RAM-GF_PROC.-2021 REQ.ACT-RDT'!G31</f>
        <v>0</v>
      </c>
      <c r="O11" s="148">
        <f>'RAM-GF_PROC.-2021 REQ.ACT-RDT'!H31</f>
        <v>0</v>
      </c>
      <c r="P11" s="314">
        <f t="shared" si="0"/>
        <v>0</v>
      </c>
      <c r="Q11" s="148">
        <f>'RAM-GF_PROC.-2021 REQ.ACT-RDT'!J21</f>
        <v>0</v>
      </c>
      <c r="S11" s="147" t="s">
        <v>14</v>
      </c>
      <c r="T11" s="148">
        <f>B11+K11</f>
        <v>68275</v>
      </c>
      <c r="U11" s="148">
        <f t="shared" si="1"/>
        <v>24480</v>
      </c>
      <c r="V11" s="148">
        <f t="shared" si="1"/>
        <v>227880</v>
      </c>
      <c r="W11" s="148">
        <f t="shared" si="1"/>
        <v>0</v>
      </c>
      <c r="X11" s="148">
        <f t="shared" si="1"/>
        <v>252540</v>
      </c>
      <c r="Y11" s="148">
        <f t="shared" si="1"/>
        <v>504900</v>
      </c>
      <c r="Z11" s="148">
        <f>H11+Q11</f>
        <v>0</v>
      </c>
      <c r="AA11" s="148">
        <f t="shared" si="2"/>
        <v>1490400</v>
      </c>
      <c r="AC11" s="6"/>
    </row>
    <row r="12" spans="1:33" s="17" customFormat="1" x14ac:dyDescent="0.25">
      <c r="A12" s="189" t="s">
        <v>15</v>
      </c>
      <c r="B12" s="190">
        <f>B11+B10</f>
        <v>1561750</v>
      </c>
      <c r="C12" s="190">
        <f t="shared" ref="C12:D12" si="4">C11+C10</f>
        <v>193770</v>
      </c>
      <c r="D12" s="190">
        <f t="shared" si="4"/>
        <v>307980</v>
      </c>
      <c r="E12" s="190">
        <f>E11+E10</f>
        <v>110220</v>
      </c>
      <c r="F12" s="190">
        <f>F11+F10</f>
        <v>307590</v>
      </c>
      <c r="G12" s="190">
        <f>G11+G10</f>
        <v>919560</v>
      </c>
      <c r="H12" s="190">
        <f>(H11+H10)</f>
        <v>1866300</v>
      </c>
      <c r="I12" s="2"/>
      <c r="J12" s="195" t="s">
        <v>15</v>
      </c>
      <c r="K12" s="196">
        <f>K11+K10</f>
        <v>58825</v>
      </c>
      <c r="L12" s="196">
        <f>L11+L10</f>
        <v>108000</v>
      </c>
      <c r="M12" s="196">
        <f>M11+M10</f>
        <v>96000</v>
      </c>
      <c r="N12" s="196">
        <f>N11+N10</f>
        <v>2160</v>
      </c>
      <c r="O12" s="196">
        <f>O11+O10</f>
        <v>2280</v>
      </c>
      <c r="P12" s="196">
        <f>L12+M12+N12+O12</f>
        <v>208440</v>
      </c>
      <c r="Q12" s="196">
        <f>Q11+Q10</f>
        <v>168500</v>
      </c>
      <c r="S12" s="146" t="s">
        <v>15</v>
      </c>
      <c r="T12" s="111">
        <f t="shared" si="1"/>
        <v>1620575</v>
      </c>
      <c r="U12" s="111">
        <f t="shared" si="1"/>
        <v>301770</v>
      </c>
      <c r="V12" s="111">
        <f t="shared" si="1"/>
        <v>403980</v>
      </c>
      <c r="W12" s="111">
        <f t="shared" si="1"/>
        <v>112380</v>
      </c>
      <c r="X12" s="111">
        <f t="shared" si="1"/>
        <v>309870</v>
      </c>
      <c r="Y12" s="111">
        <f t="shared" si="1"/>
        <v>1128000</v>
      </c>
      <c r="Z12" s="111">
        <f t="shared" si="1"/>
        <v>2034800</v>
      </c>
      <c r="AA12" s="112">
        <f t="shared" si="2"/>
        <v>2686350</v>
      </c>
      <c r="AC12" s="6"/>
    </row>
    <row r="13" spans="1:33" s="17" customFormat="1" x14ac:dyDescent="0.25">
      <c r="J13" s="108"/>
      <c r="K13" s="107"/>
      <c r="L13" s="107"/>
      <c r="M13" s="107"/>
      <c r="N13" s="107"/>
      <c r="O13" s="107"/>
      <c r="P13" s="107"/>
      <c r="Q13" s="107"/>
      <c r="S13" s="108"/>
      <c r="T13" s="342">
        <f>T12/T17</f>
        <v>4.8617249999999999</v>
      </c>
      <c r="U13" s="342"/>
      <c r="V13" s="342"/>
      <c r="W13" s="342"/>
      <c r="X13" s="342"/>
      <c r="Y13" s="342"/>
      <c r="Z13" s="342">
        <f>Z12/Z17</f>
        <v>1.4621317365269459</v>
      </c>
      <c r="AA13" s="342">
        <f>AA12/AA17</f>
        <v>4.7406176470588237</v>
      </c>
      <c r="AC13" s="6"/>
    </row>
    <row r="14" spans="1:33" s="17" customFormat="1" x14ac:dyDescent="0.25">
      <c r="J14" s="1157"/>
      <c r="K14" s="1156"/>
      <c r="L14" s="1156"/>
      <c r="M14" s="1156"/>
      <c r="N14" s="1156"/>
      <c r="O14" s="1156"/>
      <c r="P14" s="1156"/>
      <c r="Q14" s="1156"/>
      <c r="S14" s="1157"/>
      <c r="T14" s="1158"/>
      <c r="U14" s="1158"/>
      <c r="V14" s="1158"/>
      <c r="W14" s="1158"/>
      <c r="X14" s="1158"/>
      <c r="Y14" s="1158"/>
      <c r="Z14" s="1158"/>
      <c r="AA14" s="1158"/>
      <c r="AC14" s="6"/>
    </row>
    <row r="15" spans="1:33" s="21" customFormat="1" x14ac:dyDescent="0.25">
      <c r="B15" s="109"/>
      <c r="C15" s="483" t="s">
        <v>32</v>
      </c>
      <c r="D15" s="483"/>
      <c r="E15" s="483"/>
      <c r="F15" s="109"/>
      <c r="G15" s="109"/>
      <c r="H15" s="109"/>
      <c r="I15" s="2"/>
      <c r="J15" s="109"/>
      <c r="K15" s="109"/>
      <c r="L15" s="484" t="s">
        <v>61</v>
      </c>
      <c r="M15" s="484"/>
      <c r="N15" s="484"/>
      <c r="O15" s="110"/>
      <c r="P15" s="110"/>
      <c r="Q15" s="109"/>
      <c r="S15" s="118"/>
      <c r="T15" s="119"/>
      <c r="U15" s="120"/>
      <c r="V15" s="120"/>
      <c r="W15" s="120"/>
      <c r="X15" s="120"/>
      <c r="Y15" s="120"/>
      <c r="Z15" s="121"/>
      <c r="AA15" s="121"/>
      <c r="AC15" s="6"/>
    </row>
    <row r="16" spans="1:33" s="21" customFormat="1" ht="26.25" x14ac:dyDescent="0.25">
      <c r="A16" s="191"/>
      <c r="B16" s="192" t="s">
        <v>30</v>
      </c>
      <c r="C16" s="1244" t="s">
        <v>99</v>
      </c>
      <c r="D16" s="1245"/>
      <c r="E16" s="1245"/>
      <c r="F16" s="1245"/>
      <c r="G16" s="1246"/>
      <c r="H16" s="192" t="s">
        <v>33</v>
      </c>
      <c r="I16" s="2"/>
      <c r="J16" s="480"/>
      <c r="K16" s="194" t="s">
        <v>30</v>
      </c>
      <c r="L16" s="1235" t="s">
        <v>99</v>
      </c>
      <c r="M16" s="1236"/>
      <c r="N16" s="1236"/>
      <c r="O16" s="1236"/>
      <c r="P16" s="1237"/>
      <c r="Q16" s="194" t="s">
        <v>33</v>
      </c>
      <c r="S16" s="113" t="s">
        <v>20</v>
      </c>
      <c r="T16" s="114">
        <v>4000000</v>
      </c>
      <c r="U16" s="115"/>
      <c r="V16" s="115"/>
      <c r="W16" s="115"/>
      <c r="X16" s="115"/>
      <c r="Y16" s="115"/>
      <c r="Z16" s="116">
        <v>16700000</v>
      </c>
      <c r="AA16" s="117">
        <v>6800000</v>
      </c>
      <c r="AC16" s="6" t="s">
        <v>272</v>
      </c>
    </row>
    <row r="17" spans="1:34" s="21" customFormat="1" ht="45" x14ac:dyDescent="0.25">
      <c r="A17" s="477" t="s">
        <v>88</v>
      </c>
      <c r="B17" s="472">
        <f>B12</f>
        <v>1561750</v>
      </c>
      <c r="C17" s="1247">
        <f>(C12)+(D12*2)+(E12*3)+(F12*4)</f>
        <v>2370750</v>
      </c>
      <c r="D17" s="1248"/>
      <c r="E17" s="1248"/>
      <c r="F17" s="1248"/>
      <c r="G17" s="1249"/>
      <c r="H17" s="473">
        <f>H12</f>
        <v>1866300</v>
      </c>
      <c r="I17" s="2"/>
      <c r="J17" s="481" t="s">
        <v>88</v>
      </c>
      <c r="K17" s="474">
        <f>K12</f>
        <v>58825</v>
      </c>
      <c r="L17" s="1238">
        <f>(L12)+(M12*2)+(N12*3)+(O12*4)</f>
        <v>315600</v>
      </c>
      <c r="M17" s="1239"/>
      <c r="N17" s="1239"/>
      <c r="O17" s="1239"/>
      <c r="P17" s="1240"/>
      <c r="Q17" s="476">
        <f>Q12</f>
        <v>168500</v>
      </c>
      <c r="S17" s="22" t="s">
        <v>21</v>
      </c>
      <c r="T17" s="25">
        <f>T16/12</f>
        <v>333333.33333333331</v>
      </c>
      <c r="U17" s="26"/>
      <c r="V17" s="26"/>
      <c r="W17" s="26"/>
      <c r="X17" s="26"/>
      <c r="Y17" s="26"/>
      <c r="Z17" s="25">
        <f>Z16/12</f>
        <v>1391666.6666666667</v>
      </c>
      <c r="AA17" s="27">
        <f>AA16/12</f>
        <v>566666.66666666663</v>
      </c>
      <c r="AC17" s="969"/>
    </row>
    <row r="18" spans="1:34" s="24" customFormat="1" ht="37.5" customHeight="1" x14ac:dyDescent="0.25">
      <c r="A18" s="477" t="s">
        <v>89</v>
      </c>
      <c r="B18" s="1046">
        <f>B17/T17</f>
        <v>4.6852499999999999</v>
      </c>
      <c r="C18" s="1250">
        <f>C17/AA17</f>
        <v>4.1836764705882352</v>
      </c>
      <c r="D18" s="1251"/>
      <c r="E18" s="1251"/>
      <c r="F18" s="1251"/>
      <c r="G18" s="1252"/>
      <c r="H18" s="1046">
        <f>H17/Z17</f>
        <v>1.3410538922155688</v>
      </c>
      <c r="I18" s="1047"/>
      <c r="J18" s="1048" t="s">
        <v>89</v>
      </c>
      <c r="K18" s="1049">
        <f>K17/T17</f>
        <v>0.17647500000000002</v>
      </c>
      <c r="L18" s="1241">
        <f>L17/AA17</f>
        <v>0.55694117647058827</v>
      </c>
      <c r="M18" s="1242"/>
      <c r="N18" s="1242"/>
      <c r="O18" s="1242"/>
      <c r="P18" s="1243"/>
      <c r="Q18" s="1049">
        <f>Q17/Z17</f>
        <v>0.12107784431137723</v>
      </c>
      <c r="S18" s="29" t="s">
        <v>22</v>
      </c>
      <c r="T18" s="23">
        <f>T17*10</f>
        <v>3333333.333333333</v>
      </c>
      <c r="U18" s="28"/>
      <c r="V18" s="28"/>
      <c r="W18" s="28"/>
      <c r="X18" s="28"/>
      <c r="Y18" s="28"/>
      <c r="Z18" s="23">
        <f>Z17*10</f>
        <v>13916666.666666668</v>
      </c>
      <c r="AA18" s="27">
        <f>AA17*10</f>
        <v>5666666.666666666</v>
      </c>
    </row>
    <row r="19" spans="1:34" ht="18.75" x14ac:dyDescent="0.3">
      <c r="A19" s="478" t="s">
        <v>102</v>
      </c>
      <c r="B19" s="1050">
        <f>B10/T17</f>
        <v>4.4804250000000003</v>
      </c>
      <c r="C19" s="1233">
        <f>(C10+(D10*2)+(E10*3)+(F10*4))/AA17</f>
        <v>1.5535588235294118</v>
      </c>
      <c r="D19" s="1233"/>
      <c r="E19" s="1233"/>
      <c r="F19" s="1233"/>
      <c r="G19" s="1233"/>
      <c r="H19" s="1050">
        <f>H10/Z17</f>
        <v>1.3410538922155688</v>
      </c>
      <c r="I19" s="1051"/>
      <c r="J19" s="1052" t="s">
        <v>102</v>
      </c>
      <c r="K19" s="1028">
        <f>K10/T17</f>
        <v>0.17647500000000002</v>
      </c>
      <c r="L19" s="1232">
        <f>(L10+(M10*2)+(N10*3)+(O10*4))/AA17</f>
        <v>0.55694117647058827</v>
      </c>
      <c r="M19" s="1232"/>
      <c r="N19" s="1232"/>
      <c r="O19" s="1232"/>
      <c r="P19" s="1232"/>
      <c r="Q19" s="1028">
        <f>Q10/Z17</f>
        <v>0.12107784431137723</v>
      </c>
    </row>
    <row r="20" spans="1:34" ht="18.75" x14ac:dyDescent="0.3">
      <c r="A20" s="479" t="s">
        <v>103</v>
      </c>
      <c r="B20" s="1050">
        <f>B11/T17</f>
        <v>0.20482500000000001</v>
      </c>
      <c r="C20" s="1234">
        <f>(C11+(D11*2)+(E11*3)+(F11*4))/AA17</f>
        <v>2.6301176470588237</v>
      </c>
      <c r="D20" s="1234"/>
      <c r="E20" s="1234"/>
      <c r="F20" s="1234"/>
      <c r="G20" s="1234"/>
      <c r="H20" s="1050">
        <f>H11/Z17</f>
        <v>0</v>
      </c>
      <c r="I20" s="1051"/>
      <c r="J20" s="1052" t="s">
        <v>103</v>
      </c>
      <c r="K20" s="1028">
        <f>K11/T17</f>
        <v>0</v>
      </c>
      <c r="L20" s="1232">
        <f>(L11+(M11*2)+(N11*3)+(O11*4))/AA17</f>
        <v>0</v>
      </c>
      <c r="M20" s="1232"/>
      <c r="N20" s="1232"/>
      <c r="O20" s="1232"/>
      <c r="P20" s="1232"/>
      <c r="Q20" s="1028">
        <v>0</v>
      </c>
      <c r="AC20" s="18">
        <v>19000000</v>
      </c>
    </row>
    <row r="21" spans="1:34" x14ac:dyDescent="0.25">
      <c r="B21" s="297"/>
      <c r="C21"/>
      <c r="H21" s="193"/>
      <c r="K21" s="193"/>
      <c r="L21" s="1257"/>
      <c r="M21" s="1257"/>
      <c r="N21" s="1257"/>
      <c r="O21" s="1257"/>
      <c r="P21" s="1257"/>
      <c r="Q21" s="193"/>
      <c r="AC21" s="970">
        <f>AC20/Z17</f>
        <v>13.652694610778441</v>
      </c>
    </row>
    <row r="22" spans="1:34" ht="15.75" x14ac:dyDescent="0.25">
      <c r="A22" s="3" t="s">
        <v>16</v>
      </c>
      <c r="C22" s="1">
        <f>C12/$G12*100</f>
        <v>21.072034451259299</v>
      </c>
      <c r="D22" s="1">
        <f>D12/$G12*100</f>
        <v>33.492104919744229</v>
      </c>
      <c r="E22" s="1">
        <f>E12/$G12*100</f>
        <v>11.986167297403105</v>
      </c>
      <c r="F22" s="1">
        <f>F12/$G12*100</f>
        <v>33.449693331593373</v>
      </c>
      <c r="H22" s="958"/>
      <c r="W22" s="530"/>
    </row>
    <row r="23" spans="1:34" x14ac:dyDescent="0.25">
      <c r="A23" s="3" t="s">
        <v>17</v>
      </c>
      <c r="C23" s="4">
        <v>14.637357814271599</v>
      </c>
      <c r="D23" s="5">
        <v>26.487692476500495</v>
      </c>
      <c r="E23" s="5">
        <v>16.729453933652756</v>
      </c>
      <c r="F23" s="5">
        <v>42.145495775575142</v>
      </c>
      <c r="H23" s="297"/>
      <c r="J23" s="959"/>
      <c r="K23" s="959"/>
      <c r="L23" s="959"/>
      <c r="M23" s="959"/>
      <c r="N23" s="959"/>
      <c r="O23" s="959"/>
      <c r="P23" s="959"/>
      <c r="Q23" s="959"/>
      <c r="R23" s="959"/>
    </row>
    <row r="24" spans="1:34" ht="15" customHeight="1" x14ac:dyDescent="0.25">
      <c r="B24"/>
      <c r="C24"/>
      <c r="D24"/>
      <c r="E24"/>
      <c r="F24"/>
      <c r="AH24" s="1"/>
    </row>
    <row r="25" spans="1:34" ht="15.75" customHeight="1" x14ac:dyDescent="0.25">
      <c r="B25" s="46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AH25" s="1"/>
    </row>
    <row r="26" spans="1:34" ht="19.5" customHeight="1" x14ac:dyDescent="0.35">
      <c r="A26" s="1258" t="s">
        <v>98</v>
      </c>
      <c r="B26" s="1259"/>
      <c r="C26" s="1259"/>
      <c r="D26" s="1259"/>
      <c r="E26" s="1259"/>
      <c r="F26" s="1259"/>
      <c r="G26" s="1259"/>
      <c r="H26" s="1259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H26" s="1"/>
    </row>
    <row r="27" spans="1:34" s="8" customFormat="1" ht="21" customHeight="1" x14ac:dyDescent="0.3">
      <c r="A27" s="1231" t="s">
        <v>591</v>
      </c>
      <c r="B27" s="1231"/>
      <c r="C27" s="1231"/>
      <c r="D27" s="1231"/>
      <c r="E27" s="1231"/>
      <c r="F27" s="1231"/>
      <c r="G27" s="1231"/>
      <c r="H27" s="1231"/>
      <c r="J27" s="482" t="s">
        <v>0</v>
      </c>
      <c r="Q27" s="7"/>
      <c r="S27" s="8" t="s">
        <v>105</v>
      </c>
    </row>
    <row r="28" spans="1:34" ht="30" x14ac:dyDescent="0.25">
      <c r="A28" s="183" t="s">
        <v>1</v>
      </c>
      <c r="B28" s="184" t="s">
        <v>2</v>
      </c>
      <c r="C28" s="184" t="s">
        <v>3</v>
      </c>
      <c r="D28" s="184" t="s">
        <v>4</v>
      </c>
      <c r="E28" s="184" t="s">
        <v>5</v>
      </c>
      <c r="F28" s="184" t="s">
        <v>6</v>
      </c>
      <c r="G28" s="292" t="s">
        <v>7</v>
      </c>
      <c r="H28" s="185" t="s">
        <v>19</v>
      </c>
      <c r="I28" s="2"/>
      <c r="J28" s="197" t="s">
        <v>1</v>
      </c>
      <c r="K28" s="198" t="s">
        <v>2</v>
      </c>
      <c r="L28" s="198" t="s">
        <v>3</v>
      </c>
      <c r="M28" s="198" t="s">
        <v>4</v>
      </c>
      <c r="N28" s="198" t="s">
        <v>5</v>
      </c>
      <c r="O28" s="198" t="s">
        <v>6</v>
      </c>
      <c r="P28" s="313" t="s">
        <v>7</v>
      </c>
      <c r="Q28" s="199" t="s">
        <v>19</v>
      </c>
      <c r="R28" s="2"/>
      <c r="S28" s="10" t="s">
        <v>1</v>
      </c>
      <c r="T28" s="11" t="s">
        <v>2</v>
      </c>
      <c r="U28" s="11" t="s">
        <v>3</v>
      </c>
      <c r="V28" s="11" t="s">
        <v>4</v>
      </c>
      <c r="W28" s="11" t="s">
        <v>5</v>
      </c>
      <c r="X28" s="11" t="s">
        <v>6</v>
      </c>
      <c r="Y28" s="12" t="s">
        <v>7</v>
      </c>
      <c r="Z28" s="12" t="s">
        <v>19</v>
      </c>
      <c r="AA28" s="15" t="s">
        <v>23</v>
      </c>
    </row>
    <row r="29" spans="1:34" s="6" customFormat="1" ht="15" customHeight="1" x14ac:dyDescent="0.25">
      <c r="A29" s="186" t="s">
        <v>8</v>
      </c>
      <c r="B29" s="187">
        <v>502675</v>
      </c>
      <c r="C29" s="187">
        <v>141270</v>
      </c>
      <c r="D29" s="187">
        <v>39780</v>
      </c>
      <c r="E29" s="187">
        <v>41190</v>
      </c>
      <c r="F29" s="187">
        <v>0</v>
      </c>
      <c r="G29" s="293">
        <f>C29+D29+E29+F29</f>
        <v>222240</v>
      </c>
      <c r="H29" s="187">
        <v>761000</v>
      </c>
      <c r="J29" s="200" t="s">
        <v>8</v>
      </c>
      <c r="K29" s="201">
        <v>0</v>
      </c>
      <c r="L29" s="201">
        <v>0</v>
      </c>
      <c r="M29" s="201">
        <v>0</v>
      </c>
      <c r="N29" s="201">
        <v>2160</v>
      </c>
      <c r="O29" s="201">
        <v>2160</v>
      </c>
      <c r="P29" s="196">
        <f t="shared" ref="P29:P33" si="5">L29+M29+N29+O29</f>
        <v>4320</v>
      </c>
      <c r="Q29" s="201">
        <v>0</v>
      </c>
      <c r="S29" s="13" t="s">
        <v>8</v>
      </c>
      <c r="T29" s="14">
        <v>653450</v>
      </c>
      <c r="U29" s="14">
        <v>142320</v>
      </c>
      <c r="V29" s="14">
        <v>39780</v>
      </c>
      <c r="W29" s="14">
        <v>44580</v>
      </c>
      <c r="X29" s="14">
        <v>3900</v>
      </c>
      <c r="Y29" s="14">
        <v>230580</v>
      </c>
      <c r="Z29" s="14">
        <v>1061000</v>
      </c>
      <c r="AA29" s="16">
        <v>487560</v>
      </c>
    </row>
    <row r="30" spans="1:34" s="6" customFormat="1" ht="15" customHeight="1" x14ac:dyDescent="0.25">
      <c r="A30" s="186" t="s">
        <v>9</v>
      </c>
      <c r="B30" s="187">
        <v>322950</v>
      </c>
      <c r="C30" s="187">
        <v>3900</v>
      </c>
      <c r="D30" s="187">
        <v>20040</v>
      </c>
      <c r="E30" s="187">
        <v>27240</v>
      </c>
      <c r="F30" s="187">
        <v>22260</v>
      </c>
      <c r="G30" s="293">
        <f>C30+D30+E30+F30</f>
        <v>73440</v>
      </c>
      <c r="H30" s="187">
        <v>296200</v>
      </c>
      <c r="J30" s="200" t="s">
        <v>9</v>
      </c>
      <c r="K30" s="201">
        <v>0</v>
      </c>
      <c r="L30" s="201">
        <v>0</v>
      </c>
      <c r="M30" s="201">
        <v>0</v>
      </c>
      <c r="N30" s="201">
        <v>0</v>
      </c>
      <c r="O30" s="201">
        <v>0</v>
      </c>
      <c r="P30" s="196">
        <f t="shared" si="5"/>
        <v>0</v>
      </c>
      <c r="Q30" s="201">
        <v>167400</v>
      </c>
      <c r="S30" s="13" t="s">
        <v>9</v>
      </c>
      <c r="T30" s="14">
        <v>463000</v>
      </c>
      <c r="U30" s="14">
        <v>31320</v>
      </c>
      <c r="V30" s="14">
        <v>27660</v>
      </c>
      <c r="W30" s="14">
        <v>51900</v>
      </c>
      <c r="X30" s="14">
        <v>25830</v>
      </c>
      <c r="Y30" s="14">
        <v>136710</v>
      </c>
      <c r="Z30" s="14">
        <v>609600</v>
      </c>
      <c r="AA30" s="16">
        <v>349710</v>
      </c>
    </row>
    <row r="31" spans="1:34" s="6" customFormat="1" ht="15" customHeight="1" x14ac:dyDescent="0.25">
      <c r="A31" s="186" t="s">
        <v>11</v>
      </c>
      <c r="B31" s="187">
        <v>276250</v>
      </c>
      <c r="C31" s="187">
        <v>19590</v>
      </c>
      <c r="D31" s="187">
        <v>20010</v>
      </c>
      <c r="E31" s="187">
        <v>20010</v>
      </c>
      <c r="F31" s="187">
        <v>30240</v>
      </c>
      <c r="G31" s="293">
        <f>C31+D31+E31+F31</f>
        <v>89850</v>
      </c>
      <c r="H31" s="187">
        <v>48000</v>
      </c>
      <c r="J31" s="200" t="s">
        <v>11</v>
      </c>
      <c r="K31" s="201">
        <v>0</v>
      </c>
      <c r="L31" s="201">
        <v>0</v>
      </c>
      <c r="M31" s="201">
        <v>0</v>
      </c>
      <c r="N31" s="201">
        <v>0</v>
      </c>
      <c r="O31" s="201">
        <v>0</v>
      </c>
      <c r="P31" s="196">
        <f t="shared" si="5"/>
        <v>0</v>
      </c>
      <c r="Q31" s="201">
        <v>1100</v>
      </c>
      <c r="S31" s="13" t="s">
        <v>11</v>
      </c>
      <c r="T31" s="14">
        <v>427500</v>
      </c>
      <c r="U31" s="14">
        <v>23610</v>
      </c>
      <c r="V31" s="14">
        <v>24030</v>
      </c>
      <c r="W31" s="14">
        <v>25710</v>
      </c>
      <c r="X31" s="14">
        <v>31680</v>
      </c>
      <c r="Y31" s="14">
        <v>105030</v>
      </c>
      <c r="Z31" s="14">
        <v>99100</v>
      </c>
      <c r="AA31" s="16">
        <v>297840</v>
      </c>
    </row>
    <row r="32" spans="1:34" s="6" customFormat="1" ht="15" customHeight="1" x14ac:dyDescent="0.25">
      <c r="A32" s="186" t="s">
        <v>10</v>
      </c>
      <c r="B32" s="187">
        <v>386525</v>
      </c>
      <c r="C32" s="187">
        <v>720</v>
      </c>
      <c r="D32" s="187">
        <v>4170</v>
      </c>
      <c r="E32" s="187">
        <v>0</v>
      </c>
      <c r="F32" s="187">
        <v>30</v>
      </c>
      <c r="G32" s="293">
        <f>C32+D32+E32+F32</f>
        <v>4920</v>
      </c>
      <c r="H32" s="187">
        <v>200000</v>
      </c>
      <c r="J32" s="200" t="s">
        <v>10</v>
      </c>
      <c r="K32" s="201">
        <v>0</v>
      </c>
      <c r="L32" s="201">
        <v>105000</v>
      </c>
      <c r="M32" s="201">
        <v>96000</v>
      </c>
      <c r="N32" s="201">
        <v>0</v>
      </c>
      <c r="O32" s="201">
        <v>0</v>
      </c>
      <c r="P32" s="196">
        <f t="shared" si="5"/>
        <v>201000</v>
      </c>
      <c r="Q32" s="201">
        <v>1000000</v>
      </c>
      <c r="S32" s="13" t="s">
        <v>10</v>
      </c>
      <c r="T32" s="14">
        <v>505275</v>
      </c>
      <c r="U32" s="14">
        <v>120210</v>
      </c>
      <c r="V32" s="14">
        <v>115440</v>
      </c>
      <c r="W32" s="14">
        <v>10650</v>
      </c>
      <c r="X32" s="14">
        <v>1740</v>
      </c>
      <c r="Y32" s="14">
        <v>248040</v>
      </c>
      <c r="Z32" s="14">
        <v>80000</v>
      </c>
      <c r="AA32" s="16">
        <v>372000</v>
      </c>
    </row>
    <row r="33" spans="1:27" s="6" customFormat="1" ht="15" customHeight="1" x14ac:dyDescent="0.25">
      <c r="A33" s="186" t="s">
        <v>12</v>
      </c>
      <c r="B33" s="187">
        <v>156800</v>
      </c>
      <c r="C33" s="187">
        <v>8550</v>
      </c>
      <c r="D33" s="187">
        <v>10020</v>
      </c>
      <c r="E33" s="187">
        <v>34650</v>
      </c>
      <c r="F33" s="188">
        <v>24930</v>
      </c>
      <c r="G33" s="293">
        <f>C33+D33+E33+F33</f>
        <v>78150</v>
      </c>
      <c r="H33" s="187">
        <v>233000</v>
      </c>
      <c r="J33" s="200" t="s">
        <v>12</v>
      </c>
      <c r="K33" s="201">
        <v>58825</v>
      </c>
      <c r="L33" s="201">
        <v>3000</v>
      </c>
      <c r="M33" s="201">
        <v>0</v>
      </c>
      <c r="N33" s="201">
        <v>0</v>
      </c>
      <c r="O33" s="201">
        <v>120</v>
      </c>
      <c r="P33" s="196">
        <f t="shared" si="5"/>
        <v>3120</v>
      </c>
      <c r="Q33" s="201">
        <v>0</v>
      </c>
      <c r="S33" s="13" t="s">
        <v>12</v>
      </c>
      <c r="T33" s="14">
        <v>249925</v>
      </c>
      <c r="U33" s="14">
        <v>16350</v>
      </c>
      <c r="V33" s="14">
        <v>14700</v>
      </c>
      <c r="W33" s="14">
        <v>40170</v>
      </c>
      <c r="X33" s="14">
        <v>30180</v>
      </c>
      <c r="Y33" s="14">
        <v>101400</v>
      </c>
      <c r="Z33" s="14">
        <v>548380</v>
      </c>
      <c r="AA33" s="16">
        <v>455550</v>
      </c>
    </row>
    <row r="34" spans="1:27" s="122" customFormat="1" ht="15" customHeight="1" x14ac:dyDescent="0.25">
      <c r="A34" s="147" t="s">
        <v>13</v>
      </c>
      <c r="B34" s="148">
        <f t="shared" ref="B34:H34" si="6">SUM(B29:B33)</f>
        <v>1645200</v>
      </c>
      <c r="C34" s="148">
        <f t="shared" si="6"/>
        <v>174030</v>
      </c>
      <c r="D34" s="148">
        <f t="shared" si="6"/>
        <v>94020</v>
      </c>
      <c r="E34" s="148">
        <f t="shared" si="6"/>
        <v>123090</v>
      </c>
      <c r="F34" s="148">
        <f t="shared" si="6"/>
        <v>77460</v>
      </c>
      <c r="G34" s="294">
        <f t="shared" si="6"/>
        <v>468600</v>
      </c>
      <c r="H34" s="148">
        <f t="shared" si="6"/>
        <v>1538200</v>
      </c>
      <c r="J34" s="147" t="s">
        <v>13</v>
      </c>
      <c r="K34" s="148">
        <f>SUM(K29:K33)</f>
        <v>58825</v>
      </c>
      <c r="L34" s="148">
        <f t="shared" ref="L34:P34" si="7">SUM(L29:L33)</f>
        <v>108000</v>
      </c>
      <c r="M34" s="148">
        <f t="shared" si="7"/>
        <v>96000</v>
      </c>
      <c r="N34" s="148">
        <f t="shared" si="7"/>
        <v>2160</v>
      </c>
      <c r="O34" s="148">
        <f t="shared" si="7"/>
        <v>2280</v>
      </c>
      <c r="P34" s="314">
        <f t="shared" si="7"/>
        <v>208440</v>
      </c>
      <c r="Q34" s="148">
        <f>SUM(Q29:Q33)</f>
        <v>1168500</v>
      </c>
      <c r="S34" s="147" t="s">
        <v>13</v>
      </c>
      <c r="T34" s="148">
        <f t="shared" ref="T34" si="8">B34+K34</f>
        <v>1704025</v>
      </c>
      <c r="U34" s="148">
        <f t="shared" ref="U34:U36" si="9">C34+L34</f>
        <v>282030</v>
      </c>
      <c r="V34" s="148">
        <f t="shared" ref="V34:V36" si="10">D34+M34</f>
        <v>190020</v>
      </c>
      <c r="W34" s="148">
        <f t="shared" ref="W34:W36" si="11">E34+N34</f>
        <v>125250</v>
      </c>
      <c r="X34" s="148">
        <f t="shared" ref="X34:X36" si="12">F34+O34</f>
        <v>79740</v>
      </c>
      <c r="Y34" s="148">
        <f t="shared" ref="Y34:Y36" si="13">G34+P34</f>
        <v>677040</v>
      </c>
      <c r="Z34" s="148">
        <f t="shared" ref="Z34" si="14">H34+Q34</f>
        <v>2706700</v>
      </c>
      <c r="AA34" s="148">
        <f t="shared" ref="AA34:AA36" si="15">U34+(V34*2)+(W34*3)+(X34*4)</f>
        <v>1356780</v>
      </c>
    </row>
    <row r="35" spans="1:27" s="122" customFormat="1" x14ac:dyDescent="0.25">
      <c r="A35" s="147" t="s">
        <v>293</v>
      </c>
      <c r="B35" s="180">
        <v>68275</v>
      </c>
      <c r="C35" s="181">
        <v>29700</v>
      </c>
      <c r="D35" s="181">
        <v>238170</v>
      </c>
      <c r="E35" s="181">
        <v>720</v>
      </c>
      <c r="F35" s="181">
        <v>317850</v>
      </c>
      <c r="G35" s="294">
        <f>C35+D35+E35+F35</f>
        <v>586440</v>
      </c>
      <c r="H35" s="148">
        <v>0</v>
      </c>
      <c r="J35" s="147" t="s">
        <v>293</v>
      </c>
      <c r="K35" s="148">
        <v>0</v>
      </c>
      <c r="L35" s="148">
        <f>'RAM-GF_PROC.-2021 REQ.ACT-RDT'!E54</f>
        <v>0</v>
      </c>
      <c r="M35" s="148">
        <f>'RAM-GF_PROC.-2021 REQ.ACT-RDT'!F54</f>
        <v>0</v>
      </c>
      <c r="N35" s="148">
        <f>'RAM-GF_PROC.-2021 REQ.ACT-RDT'!G54</f>
        <v>0</v>
      </c>
      <c r="O35" s="148">
        <f>'RAM-GF_PROC.-2021 REQ.ACT-RDT'!H54</f>
        <v>0</v>
      </c>
      <c r="P35" s="314">
        <f t="shared" ref="P35:P36" si="16">L35+M35+N35+O35</f>
        <v>0</v>
      </c>
      <c r="Q35" s="148">
        <f>'RAM-GF_PROC.-2021 REQ.ACT-RDT'!J44</f>
        <v>0</v>
      </c>
      <c r="S35" s="147" t="s">
        <v>14</v>
      </c>
      <c r="T35" s="148">
        <v>106375</v>
      </c>
      <c r="U35" s="148">
        <v>39540</v>
      </c>
      <c r="V35" s="148">
        <v>254850</v>
      </c>
      <c r="W35" s="148">
        <v>720</v>
      </c>
      <c r="X35" s="148">
        <v>387990</v>
      </c>
      <c r="Y35" s="148">
        <v>683100</v>
      </c>
      <c r="Z35" s="148">
        <v>0</v>
      </c>
      <c r="AA35" s="148">
        <f t="shared" si="15"/>
        <v>2103360</v>
      </c>
    </row>
    <row r="36" spans="1:27" s="17" customFormat="1" x14ac:dyDescent="0.25">
      <c r="A36" s="189" t="s">
        <v>15</v>
      </c>
      <c r="B36" s="190">
        <f>B35+B34</f>
        <v>1713475</v>
      </c>
      <c r="C36" s="190">
        <f t="shared" ref="C36:D36" si="17">C35+C34</f>
        <v>203730</v>
      </c>
      <c r="D36" s="190">
        <f t="shared" si="17"/>
        <v>332190</v>
      </c>
      <c r="E36" s="190">
        <f>E35+E34</f>
        <v>123810</v>
      </c>
      <c r="F36" s="190">
        <f>F35+F34</f>
        <v>395310</v>
      </c>
      <c r="G36" s="190">
        <f>G35+G34</f>
        <v>1055040</v>
      </c>
      <c r="H36" s="190">
        <f>(H35+H34)</f>
        <v>1538200</v>
      </c>
      <c r="J36" s="195" t="s">
        <v>15</v>
      </c>
      <c r="K36" s="196">
        <f>K35+K34</f>
        <v>58825</v>
      </c>
      <c r="L36" s="196">
        <f>L35+L34</f>
        <v>108000</v>
      </c>
      <c r="M36" s="196">
        <f>M35+M34</f>
        <v>96000</v>
      </c>
      <c r="N36" s="196">
        <f>N35+N34</f>
        <v>2160</v>
      </c>
      <c r="O36" s="196">
        <f>O35+O34</f>
        <v>2280</v>
      </c>
      <c r="P36" s="196">
        <f t="shared" si="16"/>
        <v>208440</v>
      </c>
      <c r="Q36" s="196">
        <f>Q35+Q34</f>
        <v>1168500</v>
      </c>
      <c r="S36" s="146" t="s">
        <v>15</v>
      </c>
      <c r="T36" s="111">
        <f t="shared" ref="T36" si="18">B36+K36</f>
        <v>1772300</v>
      </c>
      <c r="U36" s="111">
        <f t="shared" si="9"/>
        <v>311730</v>
      </c>
      <c r="V36" s="111">
        <f t="shared" si="10"/>
        <v>428190</v>
      </c>
      <c r="W36" s="111">
        <f t="shared" si="11"/>
        <v>125970</v>
      </c>
      <c r="X36" s="111">
        <f t="shared" si="12"/>
        <v>397590</v>
      </c>
      <c r="Y36" s="111">
        <f t="shared" si="13"/>
        <v>1263480</v>
      </c>
      <c r="Z36" s="111">
        <f t="shared" ref="Z36" si="19">H36+Q36</f>
        <v>2706700</v>
      </c>
      <c r="AA36" s="112">
        <f t="shared" si="15"/>
        <v>3136380</v>
      </c>
    </row>
    <row r="37" spans="1:27" s="17" customFormat="1" x14ac:dyDescent="0.25">
      <c r="A37" s="107"/>
      <c r="B37" s="107"/>
      <c r="C37" s="107"/>
      <c r="D37" s="107"/>
      <c r="E37" s="107"/>
      <c r="F37" s="107"/>
      <c r="G37" s="107"/>
      <c r="H37" s="107"/>
      <c r="J37" s="108"/>
      <c r="K37" s="107"/>
      <c r="L37" s="107"/>
      <c r="M37" s="107"/>
      <c r="N37" s="107"/>
      <c r="O37" s="107"/>
      <c r="P37" s="107"/>
      <c r="Q37" s="107"/>
      <c r="S37" s="108"/>
      <c r="T37" s="342">
        <f>T36/T40</f>
        <v>5.3169000000000004</v>
      </c>
      <c r="U37" s="342"/>
      <c r="V37" s="342"/>
      <c r="W37" s="342"/>
      <c r="X37" s="342"/>
      <c r="Y37" s="342"/>
      <c r="Z37" s="342">
        <f>Z36/Z40</f>
        <v>1.9449341317365267</v>
      </c>
      <c r="AA37" s="342">
        <f>AA36/AA40</f>
        <v>5.5347882352941182</v>
      </c>
    </row>
    <row r="38" spans="1:27" s="21" customFormat="1" ht="12.75" customHeight="1" x14ac:dyDescent="0.25">
      <c r="B38" s="109"/>
      <c r="C38" s="483" t="s">
        <v>32</v>
      </c>
      <c r="D38" s="483"/>
      <c r="E38" s="483"/>
      <c r="F38" s="109"/>
      <c r="G38" s="109"/>
      <c r="H38" s="109"/>
      <c r="I38" s="17"/>
      <c r="J38" s="109"/>
      <c r="K38" s="109"/>
      <c r="L38" s="484" t="s">
        <v>61</v>
      </c>
      <c r="M38" s="484"/>
      <c r="N38" s="484"/>
      <c r="O38" s="110"/>
      <c r="P38" s="110"/>
      <c r="Q38" s="109"/>
      <c r="S38" s="118"/>
      <c r="T38" s="119"/>
      <c r="U38" s="120"/>
      <c r="V38" s="120"/>
      <c r="W38" s="120"/>
      <c r="X38" s="120"/>
      <c r="Y38" s="120"/>
      <c r="Z38" s="121"/>
      <c r="AA38" s="121"/>
    </row>
    <row r="39" spans="1:27" s="21" customFormat="1" ht="26.25" x14ac:dyDescent="0.25">
      <c r="A39" s="191"/>
      <c r="B39" s="192" t="s">
        <v>30</v>
      </c>
      <c r="C39" s="1244" t="s">
        <v>99</v>
      </c>
      <c r="D39" s="1245"/>
      <c r="E39" s="1245"/>
      <c r="F39" s="1245"/>
      <c r="G39" s="1246"/>
      <c r="H39" s="192" t="s">
        <v>33</v>
      </c>
      <c r="I39" s="17"/>
      <c r="J39" s="480"/>
      <c r="K39" s="194" t="s">
        <v>30</v>
      </c>
      <c r="L39" s="1235" t="s">
        <v>99</v>
      </c>
      <c r="M39" s="1236"/>
      <c r="N39" s="1236"/>
      <c r="O39" s="1236"/>
      <c r="P39" s="1237"/>
      <c r="Q39" s="194" t="s">
        <v>33</v>
      </c>
      <c r="S39" s="113" t="s">
        <v>20</v>
      </c>
      <c r="T39" s="114">
        <v>4000000</v>
      </c>
      <c r="U39" s="115"/>
      <c r="V39" s="115"/>
      <c r="W39" s="115"/>
      <c r="X39" s="115"/>
      <c r="Y39" s="115"/>
      <c r="Z39" s="116">
        <v>16700000</v>
      </c>
      <c r="AA39" s="117">
        <v>6800000</v>
      </c>
    </row>
    <row r="40" spans="1:27" s="21" customFormat="1" ht="45" x14ac:dyDescent="0.25">
      <c r="A40" s="477" t="s">
        <v>88</v>
      </c>
      <c r="B40" s="472">
        <f>B36</f>
        <v>1713475</v>
      </c>
      <c r="C40" s="1247">
        <f>(C36)+(D36*2)+(E36*3)+(F36*4)</f>
        <v>2820780</v>
      </c>
      <c r="D40" s="1248"/>
      <c r="E40" s="1248"/>
      <c r="F40" s="1248"/>
      <c r="G40" s="1249"/>
      <c r="H40" s="473">
        <f>H36</f>
        <v>1538200</v>
      </c>
      <c r="I40" s="24"/>
      <c r="J40" s="481" t="s">
        <v>88</v>
      </c>
      <c r="K40" s="474">
        <f>K36</f>
        <v>58825</v>
      </c>
      <c r="L40" s="1238">
        <f>(L36)+(M36*2)+(N36*3)+(O36*4)</f>
        <v>315600</v>
      </c>
      <c r="M40" s="1239"/>
      <c r="N40" s="1239"/>
      <c r="O40" s="1239"/>
      <c r="P40" s="1240"/>
      <c r="Q40" s="475">
        <f>Q36</f>
        <v>1168500</v>
      </c>
      <c r="S40" s="22" t="s">
        <v>21</v>
      </c>
      <c r="T40" s="25">
        <f>T39/12</f>
        <v>333333.33333333331</v>
      </c>
      <c r="U40" s="26"/>
      <c r="V40" s="26"/>
      <c r="W40" s="26"/>
      <c r="X40" s="26"/>
      <c r="Y40" s="26"/>
      <c r="Z40" s="25">
        <f>Z39/12</f>
        <v>1391666.6666666667</v>
      </c>
      <c r="AA40" s="27">
        <f>AA39/12</f>
        <v>566666.66666666663</v>
      </c>
    </row>
    <row r="41" spans="1:27" s="24" customFormat="1" ht="37.5" customHeight="1" x14ac:dyDescent="0.25">
      <c r="A41" s="477" t="s">
        <v>89</v>
      </c>
      <c r="B41" s="1046">
        <f>B40/T40</f>
        <v>5.1404250000000005</v>
      </c>
      <c r="C41" s="1250">
        <f>C40/AA40</f>
        <v>4.9778470588235297</v>
      </c>
      <c r="D41" s="1251"/>
      <c r="E41" s="1251"/>
      <c r="F41" s="1251"/>
      <c r="G41" s="1252"/>
      <c r="H41" s="1046">
        <f>H40/Z40</f>
        <v>1.1052934131736527</v>
      </c>
      <c r="I41" s="1041"/>
      <c r="J41" s="1042" t="s">
        <v>89</v>
      </c>
      <c r="K41" s="1043">
        <f>K40/T40</f>
        <v>0.17647500000000002</v>
      </c>
      <c r="L41" s="1254">
        <f>L40/AA40</f>
        <v>0.55694117647058827</v>
      </c>
      <c r="M41" s="1255"/>
      <c r="N41" s="1255"/>
      <c r="O41" s="1255"/>
      <c r="P41" s="1256"/>
      <c r="Q41" s="1043">
        <f>Q40/Z40</f>
        <v>0.83964071856287426</v>
      </c>
      <c r="S41" s="29" t="s">
        <v>22</v>
      </c>
      <c r="T41" s="23">
        <f>T40*10</f>
        <v>3333333.333333333</v>
      </c>
      <c r="U41" s="28"/>
      <c r="V41" s="28"/>
      <c r="W41" s="28"/>
      <c r="X41" s="28"/>
      <c r="Y41" s="28"/>
      <c r="Z41" s="23">
        <f>Z40*10</f>
        <v>13916666.666666668</v>
      </c>
      <c r="AA41" s="27">
        <f>AA40*10</f>
        <v>5666666.666666666</v>
      </c>
    </row>
    <row r="42" spans="1:27" ht="18.75" x14ac:dyDescent="0.3">
      <c r="A42" s="478" t="s">
        <v>102</v>
      </c>
      <c r="B42" s="1050">
        <f>B34/T40</f>
        <v>4.9356</v>
      </c>
      <c r="C42" s="1233">
        <f>(C34+(D34*2)+(E34*3)+(F34*4))/AA40</f>
        <v>1.8373764705882354</v>
      </c>
      <c r="D42" s="1233"/>
      <c r="E42" s="1233"/>
      <c r="F42" s="1233"/>
      <c r="G42" s="1233"/>
      <c r="H42" s="1050">
        <f>H34/Z40</f>
        <v>1.1052934131736527</v>
      </c>
      <c r="I42" s="1045"/>
      <c r="J42" s="1044" t="s">
        <v>102</v>
      </c>
      <c r="K42" s="1028">
        <f>K34/T40</f>
        <v>0.17647500000000002</v>
      </c>
      <c r="L42" s="1253">
        <f>(L34+(M34*2)+(N34*3)+(O34*4))/AA40</f>
        <v>0.55694117647058827</v>
      </c>
      <c r="M42" s="1253"/>
      <c r="N42" s="1253"/>
      <c r="O42" s="1253"/>
      <c r="P42" s="1253"/>
      <c r="Q42" s="1028">
        <f>Q34/Z40</f>
        <v>0.83964071856287426</v>
      </c>
    </row>
    <row r="43" spans="1:27" ht="18.75" x14ac:dyDescent="0.3">
      <c r="A43" s="479" t="s">
        <v>103</v>
      </c>
      <c r="B43" s="1050">
        <f>B35/T40</f>
        <v>0.20482500000000001</v>
      </c>
      <c r="C43" s="1234">
        <f>(C35+(D35*2)+(E35*3)+(F35*4))/AA40</f>
        <v>3.1404705882352943</v>
      </c>
      <c r="D43" s="1234"/>
      <c r="E43" s="1234"/>
      <c r="F43" s="1234"/>
      <c r="G43" s="1234"/>
      <c r="H43" s="1050">
        <f>H35/Z40</f>
        <v>0</v>
      </c>
      <c r="I43" s="1045"/>
      <c r="J43" s="1044" t="s">
        <v>103</v>
      </c>
      <c r="K43" s="1028">
        <f>K35/T40</f>
        <v>0</v>
      </c>
      <c r="L43" s="1232">
        <f>(L35+(M35*2)+(N35*3)+(O35*4))/AA40</f>
        <v>0</v>
      </c>
      <c r="M43" s="1232"/>
      <c r="N43" s="1232"/>
      <c r="O43" s="1232"/>
      <c r="P43" s="1232"/>
      <c r="Q43" s="1028">
        <f>Q35/Z40</f>
        <v>0</v>
      </c>
    </row>
    <row r="44" spans="1:27" x14ac:dyDescent="0.25">
      <c r="B44" s="297"/>
      <c r="C44"/>
      <c r="H44" s="193"/>
      <c r="K44" s="193"/>
      <c r="L44" s="528"/>
      <c r="M44" s="999"/>
      <c r="N44" s="528"/>
      <c r="O44" s="528"/>
      <c r="P44" s="528"/>
      <c r="Q44" s="193"/>
    </row>
    <row r="45" spans="1:27" x14ac:dyDescent="0.25">
      <c r="A45" s="3" t="s">
        <v>16</v>
      </c>
      <c r="C45" s="1">
        <v>13.188684613979879</v>
      </c>
      <c r="D45" s="1">
        <v>27.071592480758095</v>
      </c>
      <c r="E45" s="1">
        <v>19.77984176126591</v>
      </c>
      <c r="F45" s="1">
        <v>39.959881143996121</v>
      </c>
      <c r="H45" s="193"/>
      <c r="P45" s="528"/>
      <c r="Q45" s="1"/>
    </row>
    <row r="46" spans="1:27" x14ac:dyDescent="0.25">
      <c r="A46" s="3" t="s">
        <v>17</v>
      </c>
      <c r="C46" s="4">
        <v>14.637357814271599</v>
      </c>
      <c r="D46" s="5">
        <v>26.487692476500495</v>
      </c>
      <c r="E46" s="5">
        <v>16.729453933652756</v>
      </c>
      <c r="F46" s="5">
        <v>42.145495775575142</v>
      </c>
    </row>
    <row r="47" spans="1:27" x14ac:dyDescent="0.25">
      <c r="B47"/>
      <c r="C47"/>
      <c r="D47"/>
      <c r="E47"/>
      <c r="F47"/>
    </row>
    <row r="48" spans="1:27" x14ac:dyDescent="0.25">
      <c r="B48"/>
      <c r="C48"/>
      <c r="D48"/>
      <c r="E48"/>
      <c r="F48"/>
    </row>
    <row r="49" spans="2:17" x14ac:dyDescent="0.25">
      <c r="B49" s="46"/>
      <c r="O49" s="230"/>
      <c r="Q49" s="1"/>
    </row>
    <row r="51" spans="2:17" x14ac:dyDescent="0.25">
      <c r="G51"/>
    </row>
    <row r="52" spans="2:17" x14ac:dyDescent="0.25">
      <c r="G52"/>
    </row>
    <row r="54" spans="2:17" x14ac:dyDescent="0.25">
      <c r="B54" s="182"/>
    </row>
  </sheetData>
  <mergeCells count="24">
    <mergeCell ref="L21:P21"/>
    <mergeCell ref="C40:G40"/>
    <mergeCell ref="L39:P39"/>
    <mergeCell ref="A26:H26"/>
    <mergeCell ref="C39:G39"/>
    <mergeCell ref="L40:P40"/>
    <mergeCell ref="A27:H27"/>
    <mergeCell ref="L43:P43"/>
    <mergeCell ref="C43:G43"/>
    <mergeCell ref="L42:P42"/>
    <mergeCell ref="C41:G41"/>
    <mergeCell ref="C42:G42"/>
    <mergeCell ref="L41:P41"/>
    <mergeCell ref="A3:H3"/>
    <mergeCell ref="L19:P19"/>
    <mergeCell ref="L20:P20"/>
    <mergeCell ref="C19:G19"/>
    <mergeCell ref="C20:G20"/>
    <mergeCell ref="L16:P16"/>
    <mergeCell ref="L17:P17"/>
    <mergeCell ref="L18:P18"/>
    <mergeCell ref="C16:G16"/>
    <mergeCell ref="C17:G17"/>
    <mergeCell ref="C18:G18"/>
  </mergeCells>
  <pageMargins left="0.7" right="0.7" top="0.75" bottom="0.75" header="0.3" footer="0.3"/>
  <pageSetup scale="4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"/>
  <sheetViews>
    <sheetView zoomScale="91" zoomScaleNormal="91" workbookViewId="0">
      <selection activeCell="B4" sqref="B4"/>
    </sheetView>
  </sheetViews>
  <sheetFormatPr defaultColWidth="9.140625" defaultRowHeight="12" x14ac:dyDescent="0.2"/>
  <cols>
    <col min="1" max="1" width="12" style="30" customWidth="1"/>
    <col min="2" max="2" width="13.85546875" style="37" customWidth="1"/>
    <col min="3" max="3" width="10.28515625" style="37" customWidth="1"/>
    <col min="4" max="4" width="10.5703125" style="37" customWidth="1"/>
    <col min="5" max="5" width="11.28515625" style="37" customWidth="1"/>
    <col min="6" max="6" width="11.85546875" style="37" customWidth="1"/>
    <col min="7" max="7" width="11.7109375" style="37" customWidth="1"/>
    <col min="8" max="9" width="11.85546875" style="37" customWidth="1"/>
    <col min="10" max="10" width="14.85546875" style="37" customWidth="1"/>
    <col min="11" max="11" width="5.5703125" style="30" customWidth="1"/>
    <col min="12" max="12" width="14.42578125" style="30" customWidth="1"/>
    <col min="13" max="13" width="13.85546875" style="30" customWidth="1"/>
    <col min="14" max="14" width="10.28515625" style="30" customWidth="1"/>
    <col min="15" max="15" width="10.5703125" style="30" customWidth="1"/>
    <col min="16" max="16" width="11.28515625" style="30" customWidth="1"/>
    <col min="17" max="17" width="11.85546875" style="30" customWidth="1"/>
    <col min="18" max="18" width="11.7109375" style="30" customWidth="1"/>
    <col min="19" max="20" width="11.85546875" style="30" customWidth="1"/>
    <col min="21" max="21" width="14.85546875" style="30" customWidth="1"/>
    <col min="22" max="22" width="8.85546875" style="30" customWidth="1"/>
    <col min="23" max="23" width="17.85546875" style="30" customWidth="1"/>
    <col min="24" max="24" width="12.85546875" style="30" customWidth="1"/>
    <col min="25" max="25" width="10.7109375" style="30" customWidth="1"/>
    <col min="26" max="26" width="10.5703125" style="30" customWidth="1"/>
    <col min="27" max="27" width="11.140625" style="30" customWidth="1"/>
    <col min="28" max="28" width="12.42578125" style="30" customWidth="1"/>
    <col min="29" max="29" width="10.5703125" style="30" customWidth="1"/>
    <col min="30" max="30" width="14.42578125" style="30" customWidth="1"/>
    <col min="31" max="16384" width="9.140625" style="30"/>
  </cols>
  <sheetData>
    <row r="1" spans="1:30" ht="18.75" customHeight="1" x14ac:dyDescent="0.35">
      <c r="A1" s="376" t="s">
        <v>320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376"/>
      <c r="V1" s="376"/>
      <c r="W1" s="376"/>
      <c r="X1" s="376"/>
      <c r="Y1" s="376"/>
      <c r="Z1" s="376"/>
      <c r="AA1" s="376"/>
      <c r="AB1" s="376"/>
      <c r="AC1" s="376"/>
      <c r="AD1" s="376"/>
    </row>
    <row r="2" spans="1:30" x14ac:dyDescent="0.2">
      <c r="U2" s="37"/>
    </row>
    <row r="3" spans="1:30" ht="21" customHeight="1" x14ac:dyDescent="0.25">
      <c r="A3" s="1260" t="s">
        <v>596</v>
      </c>
      <c r="B3" s="1260"/>
      <c r="C3" s="1260"/>
      <c r="D3" s="1260"/>
      <c r="E3" s="1260"/>
      <c r="F3" s="1260"/>
      <c r="G3" s="1260"/>
      <c r="H3" s="1260"/>
      <c r="I3" s="1260"/>
      <c r="J3" s="1260"/>
      <c r="L3" s="9" t="s">
        <v>39</v>
      </c>
      <c r="U3" s="37"/>
      <c r="W3" s="8" t="s">
        <v>104</v>
      </c>
    </row>
    <row r="4" spans="1:30" ht="60" x14ac:dyDescent="0.2">
      <c r="A4" s="214" t="s">
        <v>1</v>
      </c>
      <c r="B4" s="215" t="s">
        <v>34</v>
      </c>
      <c r="C4" s="215" t="s">
        <v>35</v>
      </c>
      <c r="D4" s="215" t="s">
        <v>36</v>
      </c>
      <c r="E4" s="215" t="s">
        <v>172</v>
      </c>
      <c r="F4" s="215" t="s">
        <v>38</v>
      </c>
      <c r="G4" s="215" t="s">
        <v>37</v>
      </c>
      <c r="H4" s="215" t="s">
        <v>63</v>
      </c>
      <c r="I4" s="215" t="s">
        <v>64</v>
      </c>
      <c r="J4" s="215" t="s">
        <v>62</v>
      </c>
      <c r="L4" s="208" t="s">
        <v>1</v>
      </c>
      <c r="M4" s="209" t="s">
        <v>34</v>
      </c>
      <c r="N4" s="209" t="s">
        <v>35</v>
      </c>
      <c r="O4" s="209" t="s">
        <v>36</v>
      </c>
      <c r="P4" s="209" t="s">
        <v>172</v>
      </c>
      <c r="Q4" s="209" t="s">
        <v>38</v>
      </c>
      <c r="R4" s="209" t="s">
        <v>37</v>
      </c>
      <c r="S4" s="209" t="s">
        <v>63</v>
      </c>
      <c r="T4" s="209" t="s">
        <v>64</v>
      </c>
      <c r="U4" s="209" t="s">
        <v>62</v>
      </c>
      <c r="V4" s="133"/>
      <c r="W4" s="38"/>
      <c r="X4" s="343" t="s">
        <v>34</v>
      </c>
      <c r="Y4" s="343" t="s">
        <v>35</v>
      </c>
      <c r="Z4" s="343" t="s">
        <v>36</v>
      </c>
      <c r="AA4" s="343" t="s">
        <v>172</v>
      </c>
      <c r="AB4" s="343" t="s">
        <v>38</v>
      </c>
      <c r="AC4" s="343" t="s">
        <v>37</v>
      </c>
      <c r="AD4" s="343" t="s">
        <v>62</v>
      </c>
    </row>
    <row r="5" spans="1:30" s="39" customFormat="1" x14ac:dyDescent="0.2">
      <c r="A5" s="216" t="s">
        <v>8</v>
      </c>
      <c r="B5" s="217">
        <f>260400+20000</f>
        <v>280400</v>
      </c>
      <c r="C5" s="217">
        <v>4284</v>
      </c>
      <c r="D5" s="852">
        <v>24214</v>
      </c>
      <c r="E5" s="217">
        <v>17205</v>
      </c>
      <c r="F5" s="217">
        <v>1760</v>
      </c>
      <c r="G5" s="217">
        <v>0</v>
      </c>
      <c r="H5" s="217">
        <v>0</v>
      </c>
      <c r="I5" s="217">
        <v>0</v>
      </c>
      <c r="J5" s="217">
        <v>1509</v>
      </c>
      <c r="K5" s="30"/>
      <c r="L5" s="206" t="s">
        <v>8</v>
      </c>
      <c r="M5" s="207">
        <f>'NDoH Outstanding Orders'!L58</f>
        <v>0</v>
      </c>
      <c r="N5" s="207">
        <f>'NDoH Outstanding Orders'!M58</f>
        <v>0</v>
      </c>
      <c r="O5" s="207">
        <f>'NDoH Outstanding Orders'!N58</f>
        <v>0</v>
      </c>
      <c r="P5" s="207">
        <f>'NDoH Outstanding Orders'!O58</f>
        <v>0</v>
      </c>
      <c r="Q5" s="207">
        <f>'NDoH Outstanding Orders'!P58</f>
        <v>0</v>
      </c>
      <c r="R5" s="207">
        <f>'NDoH Outstanding Orders'!Q58</f>
        <v>0</v>
      </c>
      <c r="S5" s="207">
        <f>'NDoH Outstanding Orders'!R58</f>
        <v>0</v>
      </c>
      <c r="T5" s="207">
        <f>'NDoH Outstanding Orders'!S58</f>
        <v>0</v>
      </c>
      <c r="U5" s="207">
        <f>'NDoH Outstanding Orders'!T58</f>
        <v>0</v>
      </c>
      <c r="W5" s="125" t="s">
        <v>8</v>
      </c>
      <c r="X5" s="126">
        <f t="shared" ref="X5:AC5" si="0">B5+M5</f>
        <v>280400</v>
      </c>
      <c r="Y5" s="126">
        <f t="shared" si="0"/>
        <v>4284</v>
      </c>
      <c r="Z5" s="126">
        <f t="shared" si="0"/>
        <v>24214</v>
      </c>
      <c r="AA5" s="126">
        <f t="shared" si="0"/>
        <v>17205</v>
      </c>
      <c r="AB5" s="126">
        <f t="shared" si="0"/>
        <v>1760</v>
      </c>
      <c r="AC5" s="126">
        <f t="shared" si="0"/>
        <v>0</v>
      </c>
      <c r="AD5" s="126">
        <f t="shared" ref="AD5:AD10" si="1">J5+U5</f>
        <v>1509</v>
      </c>
    </row>
    <row r="6" spans="1:30" s="39" customFormat="1" x14ac:dyDescent="0.2">
      <c r="A6" s="216" t="s">
        <v>9</v>
      </c>
      <c r="B6" s="217">
        <v>0</v>
      </c>
      <c r="C6" s="217">
        <v>0</v>
      </c>
      <c r="D6" s="217">
        <v>12600</v>
      </c>
      <c r="E6" s="217">
        <v>5130</v>
      </c>
      <c r="F6" s="852">
        <v>0</v>
      </c>
      <c r="G6" s="911">
        <v>2000</v>
      </c>
      <c r="H6" s="217">
        <v>0</v>
      </c>
      <c r="I6" s="217">
        <v>0</v>
      </c>
      <c r="J6" s="217">
        <v>0</v>
      </c>
      <c r="K6" s="30"/>
      <c r="L6" s="206" t="s">
        <v>9</v>
      </c>
      <c r="M6" s="207">
        <f>'NDoH Outstanding Orders'!L100</f>
        <v>0</v>
      </c>
      <c r="N6" s="207">
        <f>'NDoH Outstanding Orders'!M100</f>
        <v>2000</v>
      </c>
      <c r="O6" s="207">
        <f>'NDoH Outstanding Orders'!N100</f>
        <v>0</v>
      </c>
      <c r="P6" s="207">
        <f>'NDoH Outstanding Orders'!O100</f>
        <v>0</v>
      </c>
      <c r="Q6" s="207">
        <f>'NDoH Outstanding Orders'!P100</f>
        <v>0</v>
      </c>
      <c r="R6" s="207">
        <f>'NDoH Outstanding Orders'!Q100</f>
        <v>0</v>
      </c>
      <c r="S6" s="207">
        <f>'NDoH Outstanding Orders'!R100</f>
        <v>0</v>
      </c>
      <c r="T6" s="207">
        <f>'NDoH Outstanding Orders'!S100</f>
        <v>0</v>
      </c>
      <c r="U6" s="207">
        <f>'NDoH Outstanding Orders'!T100</f>
        <v>0</v>
      </c>
      <c r="W6" s="125" t="s">
        <v>9</v>
      </c>
      <c r="X6" s="126">
        <f t="shared" ref="X6:AC10" si="2">B6+M6</f>
        <v>0</v>
      </c>
      <c r="Y6" s="126">
        <f t="shared" si="2"/>
        <v>2000</v>
      </c>
      <c r="Z6" s="126">
        <f t="shared" si="2"/>
        <v>12600</v>
      </c>
      <c r="AA6" s="126">
        <f t="shared" si="2"/>
        <v>5130</v>
      </c>
      <c r="AB6" s="126">
        <f t="shared" si="2"/>
        <v>0</v>
      </c>
      <c r="AC6" s="126">
        <f t="shared" si="2"/>
        <v>2000</v>
      </c>
      <c r="AD6" s="126">
        <f t="shared" si="1"/>
        <v>0</v>
      </c>
    </row>
    <row r="7" spans="1:30" s="39" customFormat="1" x14ac:dyDescent="0.2">
      <c r="A7" s="216" t="s">
        <v>11</v>
      </c>
      <c r="B7" s="217">
        <v>0</v>
      </c>
      <c r="C7" s="852">
        <v>7476</v>
      </c>
      <c r="D7" s="217">
        <v>12156</v>
      </c>
      <c r="E7" s="217">
        <v>0</v>
      </c>
      <c r="F7" s="217">
        <f>22-22</f>
        <v>0</v>
      </c>
      <c r="G7" s="217">
        <v>47000</v>
      </c>
      <c r="H7" s="217">
        <v>0</v>
      </c>
      <c r="I7" s="217">
        <v>0</v>
      </c>
      <c r="J7" s="217">
        <v>0</v>
      </c>
      <c r="K7" s="30"/>
      <c r="L7" s="206" t="s">
        <v>11</v>
      </c>
      <c r="M7" s="207">
        <f>'NDoH Outstanding Orders'!L137</f>
        <v>0</v>
      </c>
      <c r="N7" s="207">
        <f>'NDoH Outstanding Orders'!M137</f>
        <v>20000</v>
      </c>
      <c r="O7" s="207">
        <f>'NDoH Outstanding Orders'!N137</f>
        <v>0</v>
      </c>
      <c r="P7" s="207">
        <f>'NDoH Outstanding Orders'!O137</f>
        <v>0</v>
      </c>
      <c r="Q7" s="207">
        <f>'NDoH Outstanding Orders'!P137</f>
        <v>0</v>
      </c>
      <c r="R7" s="207">
        <f>'NDoH Outstanding Orders'!Q137</f>
        <v>0</v>
      </c>
      <c r="S7" s="207">
        <f>'NDoH Outstanding Orders'!R137</f>
        <v>0</v>
      </c>
      <c r="T7" s="207">
        <f>'NDoH Outstanding Orders'!S137</f>
        <v>0</v>
      </c>
      <c r="U7" s="207">
        <f>'NDoH Outstanding Orders'!T137</f>
        <v>0</v>
      </c>
      <c r="W7" s="125" t="s">
        <v>11</v>
      </c>
      <c r="X7" s="126">
        <f t="shared" si="2"/>
        <v>0</v>
      </c>
      <c r="Y7" s="126">
        <f t="shared" si="2"/>
        <v>27476</v>
      </c>
      <c r="Z7" s="126">
        <f t="shared" si="2"/>
        <v>12156</v>
      </c>
      <c r="AA7" s="126">
        <f t="shared" si="2"/>
        <v>0</v>
      </c>
      <c r="AB7" s="126">
        <f t="shared" si="2"/>
        <v>0</v>
      </c>
      <c r="AC7" s="126">
        <f t="shared" si="2"/>
        <v>47000</v>
      </c>
      <c r="AD7" s="126">
        <f t="shared" si="1"/>
        <v>0</v>
      </c>
    </row>
    <row r="8" spans="1:30" s="39" customFormat="1" x14ac:dyDescent="0.2">
      <c r="A8" s="216" t="s">
        <v>10</v>
      </c>
      <c r="B8" s="217">
        <v>0</v>
      </c>
      <c r="C8" s="852">
        <v>0</v>
      </c>
      <c r="D8" s="852">
        <v>1990</v>
      </c>
      <c r="E8" s="852">
        <v>0</v>
      </c>
      <c r="F8" s="852">
        <v>0</v>
      </c>
      <c r="G8" s="852">
        <v>0</v>
      </c>
      <c r="H8" s="852">
        <v>0</v>
      </c>
      <c r="I8" s="852">
        <v>0</v>
      </c>
      <c r="J8" s="852">
        <v>0</v>
      </c>
      <c r="K8" s="30"/>
      <c r="L8" s="206" t="s">
        <v>10</v>
      </c>
      <c r="M8" s="207">
        <f>'NDoH Outstanding Orders'!L185</f>
        <v>0</v>
      </c>
      <c r="N8" s="207">
        <f>'NDoH Outstanding Orders'!M185</f>
        <v>0</v>
      </c>
      <c r="O8" s="207">
        <f>'NDoH Outstanding Orders'!N185</f>
        <v>10000</v>
      </c>
      <c r="P8" s="207">
        <f>'NDoH Outstanding Orders'!O185</f>
        <v>0</v>
      </c>
      <c r="Q8" s="207">
        <f>'NDoH Outstanding Orders'!P185</f>
        <v>0</v>
      </c>
      <c r="R8" s="207">
        <f>'NDoH Outstanding Orders'!Q185</f>
        <v>0</v>
      </c>
      <c r="S8" s="207">
        <f>'NDoH Outstanding Orders'!R185</f>
        <v>0</v>
      </c>
      <c r="T8" s="207">
        <f>'NDoH Outstanding Orders'!S185</f>
        <v>0</v>
      </c>
      <c r="U8" s="207">
        <f>'NDoH Outstanding Orders'!T185</f>
        <v>0</v>
      </c>
      <c r="W8" s="125" t="s">
        <v>10</v>
      </c>
      <c r="X8" s="126">
        <f t="shared" si="2"/>
        <v>0</v>
      </c>
      <c r="Y8" s="126">
        <f t="shared" si="2"/>
        <v>0</v>
      </c>
      <c r="Z8" s="126">
        <f t="shared" si="2"/>
        <v>11990</v>
      </c>
      <c r="AA8" s="126">
        <f t="shared" si="2"/>
        <v>0</v>
      </c>
      <c r="AB8" s="126">
        <f t="shared" si="2"/>
        <v>0</v>
      </c>
      <c r="AC8" s="126">
        <f t="shared" si="2"/>
        <v>0</v>
      </c>
      <c r="AD8" s="126">
        <f t="shared" si="1"/>
        <v>0</v>
      </c>
    </row>
    <row r="9" spans="1:30" s="39" customFormat="1" x14ac:dyDescent="0.2">
      <c r="A9" s="216" t="s">
        <v>12</v>
      </c>
      <c r="B9" s="217">
        <v>0</v>
      </c>
      <c r="C9" s="852">
        <v>42204</v>
      </c>
      <c r="D9" s="852">
        <v>14346</v>
      </c>
      <c r="E9" s="217">
        <v>335</v>
      </c>
      <c r="F9" s="217">
        <v>0</v>
      </c>
      <c r="G9" s="227">
        <v>50200</v>
      </c>
      <c r="H9" s="217">
        <v>0</v>
      </c>
      <c r="I9" s="217">
        <v>0</v>
      </c>
      <c r="J9" s="217">
        <v>924</v>
      </c>
      <c r="K9" s="30"/>
      <c r="L9" s="206" t="s">
        <v>12</v>
      </c>
      <c r="M9" s="207">
        <f>'NDoH Outstanding Orders'!L242</f>
        <v>0</v>
      </c>
      <c r="N9" s="207">
        <f>'NDoH Outstanding Orders'!M242</f>
        <v>0</v>
      </c>
      <c r="O9" s="207">
        <f>'NDoH Outstanding Orders'!N242</f>
        <v>0</v>
      </c>
      <c r="P9" s="207">
        <f>'NDoH Outstanding Orders'!O242</f>
        <v>0</v>
      </c>
      <c r="Q9" s="207">
        <f>'NDoH Outstanding Orders'!P242</f>
        <v>0</v>
      </c>
      <c r="R9" s="207">
        <f>'NDoH Outstanding Orders'!Q242</f>
        <v>0</v>
      </c>
      <c r="S9" s="207">
        <f>'NDoH Outstanding Orders'!R242</f>
        <v>0</v>
      </c>
      <c r="T9" s="207">
        <f>'NDoH Outstanding Orders'!S242</f>
        <v>0</v>
      </c>
      <c r="U9" s="207">
        <f>'NDoH Outstanding Orders'!T242</f>
        <v>0</v>
      </c>
      <c r="W9" s="125" t="s">
        <v>12</v>
      </c>
      <c r="X9" s="126">
        <f t="shared" si="2"/>
        <v>0</v>
      </c>
      <c r="Y9" s="126">
        <f t="shared" si="2"/>
        <v>42204</v>
      </c>
      <c r="Z9" s="126">
        <f t="shared" si="2"/>
        <v>14346</v>
      </c>
      <c r="AA9" s="126">
        <f t="shared" si="2"/>
        <v>335</v>
      </c>
      <c r="AB9" s="126">
        <f t="shared" si="2"/>
        <v>0</v>
      </c>
      <c r="AC9" s="126">
        <f t="shared" si="2"/>
        <v>50200</v>
      </c>
      <c r="AD9" s="126">
        <f t="shared" si="1"/>
        <v>924</v>
      </c>
    </row>
    <row r="10" spans="1:30" s="123" customFormat="1" x14ac:dyDescent="0.2">
      <c r="A10" s="212" t="s">
        <v>13</v>
      </c>
      <c r="B10" s="286">
        <f t="shared" ref="B10:G10" si="3">SUM(B5:B9)</f>
        <v>280400</v>
      </c>
      <c r="C10" s="286">
        <f>SUM(C5:C9)</f>
        <v>53964</v>
      </c>
      <c r="D10" s="286">
        <f t="shared" si="3"/>
        <v>65306</v>
      </c>
      <c r="E10" s="286">
        <f t="shared" si="3"/>
        <v>22670</v>
      </c>
      <c r="F10" s="286">
        <f t="shared" si="3"/>
        <v>1760</v>
      </c>
      <c r="G10" s="286">
        <f t="shared" si="3"/>
        <v>99200</v>
      </c>
      <c r="H10" s="286">
        <v>0</v>
      </c>
      <c r="I10" s="286">
        <v>0</v>
      </c>
      <c r="J10" s="286">
        <f>SUM(J5:J9)</f>
        <v>2433</v>
      </c>
      <c r="K10" s="30"/>
      <c r="L10" s="287" t="s">
        <v>13</v>
      </c>
      <c r="M10" s="286">
        <f>SUM(M5:M9)</f>
        <v>0</v>
      </c>
      <c r="N10" s="854">
        <f t="shared" ref="N10:U10" si="4">SUM(N5:N9)</f>
        <v>22000</v>
      </c>
      <c r="O10" s="854">
        <f t="shared" si="4"/>
        <v>10000</v>
      </c>
      <c r="P10" s="854">
        <f>SUM(P5:P9)</f>
        <v>0</v>
      </c>
      <c r="Q10" s="854">
        <f t="shared" si="4"/>
        <v>0</v>
      </c>
      <c r="R10" s="854">
        <f t="shared" si="4"/>
        <v>0</v>
      </c>
      <c r="S10" s="854">
        <f t="shared" si="4"/>
        <v>0</v>
      </c>
      <c r="T10" s="854">
        <f t="shared" si="4"/>
        <v>0</v>
      </c>
      <c r="U10" s="854">
        <f t="shared" si="4"/>
        <v>0</v>
      </c>
      <c r="W10" s="288" t="s">
        <v>13</v>
      </c>
      <c r="X10" s="289">
        <f>B10+M10</f>
        <v>280400</v>
      </c>
      <c r="Y10" s="289">
        <f t="shared" si="2"/>
        <v>75964</v>
      </c>
      <c r="Z10" s="289">
        <f t="shared" si="2"/>
        <v>75306</v>
      </c>
      <c r="AA10" s="289">
        <f t="shared" si="2"/>
        <v>22670</v>
      </c>
      <c r="AB10" s="289">
        <f t="shared" si="2"/>
        <v>1760</v>
      </c>
      <c r="AC10" s="289">
        <f t="shared" si="2"/>
        <v>99200</v>
      </c>
      <c r="AD10" s="289">
        <f t="shared" si="1"/>
        <v>2433</v>
      </c>
    </row>
    <row r="11" spans="1:30" s="123" customFormat="1" x14ac:dyDescent="0.2">
      <c r="A11" s="212" t="s">
        <v>14</v>
      </c>
      <c r="B11" s="290">
        <v>0</v>
      </c>
      <c r="C11" s="290">
        <v>0</v>
      </c>
      <c r="D11" s="290">
        <v>0</v>
      </c>
      <c r="E11" s="290">
        <v>0</v>
      </c>
      <c r="F11" s="213">
        <v>0</v>
      </c>
      <c r="G11" s="290">
        <v>0</v>
      </c>
      <c r="H11" s="213">
        <v>0</v>
      </c>
      <c r="I11" s="213">
        <v>0</v>
      </c>
      <c r="J11" s="213">
        <v>0</v>
      </c>
      <c r="K11" s="30"/>
      <c r="L11" s="212" t="s">
        <v>14</v>
      </c>
      <c r="M11" s="213">
        <v>0</v>
      </c>
      <c r="N11" s="213">
        <v>0</v>
      </c>
      <c r="O11" s="213">
        <v>0</v>
      </c>
      <c r="P11" s="213">
        <v>0</v>
      </c>
      <c r="Q11" s="213">
        <v>0</v>
      </c>
      <c r="R11" s="213">
        <v>0</v>
      </c>
      <c r="S11" s="213">
        <v>0</v>
      </c>
      <c r="T11" s="213">
        <v>0</v>
      </c>
      <c r="U11" s="213">
        <v>0</v>
      </c>
      <c r="W11" s="288" t="s">
        <v>14</v>
      </c>
      <c r="X11" s="289">
        <f>B11+M11</f>
        <v>0</v>
      </c>
      <c r="Y11" s="289">
        <f t="shared" ref="Y11:AD11" si="5">C11+N11</f>
        <v>0</v>
      </c>
      <c r="Z11" s="289">
        <f t="shared" si="5"/>
        <v>0</v>
      </c>
      <c r="AA11" s="289">
        <f t="shared" si="5"/>
        <v>0</v>
      </c>
      <c r="AB11" s="289">
        <f t="shared" si="5"/>
        <v>0</v>
      </c>
      <c r="AC11" s="289">
        <f t="shared" si="5"/>
        <v>0</v>
      </c>
      <c r="AD11" s="289">
        <f t="shared" si="5"/>
        <v>0</v>
      </c>
    </row>
    <row r="12" spans="1:30" s="40" customFormat="1" x14ac:dyDescent="0.2">
      <c r="A12" s="210" t="s">
        <v>15</v>
      </c>
      <c r="B12" s="211">
        <f>B11+B10</f>
        <v>280400</v>
      </c>
      <c r="C12" s="211">
        <f t="shared" ref="C12:J12" si="6">C11+C10</f>
        <v>53964</v>
      </c>
      <c r="D12" s="211">
        <f t="shared" si="6"/>
        <v>65306</v>
      </c>
      <c r="E12" s="211">
        <f t="shared" si="6"/>
        <v>22670</v>
      </c>
      <c r="F12" s="211">
        <f t="shared" si="6"/>
        <v>1760</v>
      </c>
      <c r="G12" s="211">
        <f t="shared" si="6"/>
        <v>99200</v>
      </c>
      <c r="H12" s="211">
        <f t="shared" si="6"/>
        <v>0</v>
      </c>
      <c r="I12" s="211">
        <f t="shared" si="6"/>
        <v>0</v>
      </c>
      <c r="J12" s="211">
        <f t="shared" si="6"/>
        <v>2433</v>
      </c>
      <c r="L12" s="210" t="s">
        <v>15</v>
      </c>
      <c r="M12" s="211">
        <f>M10+M11</f>
        <v>0</v>
      </c>
      <c r="N12" s="846">
        <f t="shared" ref="N12:U12" si="7">N10+N11</f>
        <v>22000</v>
      </c>
      <c r="O12" s="846">
        <f t="shared" si="7"/>
        <v>10000</v>
      </c>
      <c r="P12" s="846">
        <f>P10+P11</f>
        <v>0</v>
      </c>
      <c r="Q12" s="846">
        <f>Q10+Q11</f>
        <v>0</v>
      </c>
      <c r="R12" s="846">
        <f t="shared" si="7"/>
        <v>0</v>
      </c>
      <c r="S12" s="846">
        <f t="shared" si="7"/>
        <v>0</v>
      </c>
      <c r="T12" s="846">
        <f t="shared" si="7"/>
        <v>0</v>
      </c>
      <c r="U12" s="846">
        <f t="shared" si="7"/>
        <v>0</v>
      </c>
      <c r="W12" s="344" t="s">
        <v>15</v>
      </c>
      <c r="X12" s="41">
        <f t="shared" ref="X12:AD12" si="8">X10+X11</f>
        <v>280400</v>
      </c>
      <c r="Y12" s="41">
        <f>Y10+Y11</f>
        <v>75964</v>
      </c>
      <c r="Z12" s="41">
        <f t="shared" si="8"/>
        <v>75306</v>
      </c>
      <c r="AA12" s="41">
        <f t="shared" si="8"/>
        <v>22670</v>
      </c>
      <c r="AB12" s="41">
        <f t="shared" si="8"/>
        <v>1760</v>
      </c>
      <c r="AC12" s="41">
        <f t="shared" si="8"/>
        <v>99200</v>
      </c>
      <c r="AD12" s="41">
        <f t="shared" si="8"/>
        <v>2433</v>
      </c>
    </row>
    <row r="13" spans="1:30" x14ac:dyDescent="0.2">
      <c r="U13" s="844"/>
    </row>
    <row r="14" spans="1:30" ht="9.75" customHeight="1" x14ac:dyDescent="0.2"/>
    <row r="15" spans="1:30" s="145" customFormat="1" ht="5.25" hidden="1" customHeight="1" x14ac:dyDescent="0.2"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30" s="179" customFormat="1" ht="19.5" customHeight="1" x14ac:dyDescent="0.35">
      <c r="A16" s="1261" t="s">
        <v>98</v>
      </c>
      <c r="B16" s="1261"/>
      <c r="C16" s="1261"/>
      <c r="D16" s="1261"/>
      <c r="E16" s="1261"/>
      <c r="F16" s="1261"/>
      <c r="G16" s="1261"/>
      <c r="H16" s="1261"/>
      <c r="I16" s="1261"/>
      <c r="J16" s="1261"/>
      <c r="K16" s="1261"/>
      <c r="L16" s="1261"/>
      <c r="M16" s="1261"/>
      <c r="N16" s="1261"/>
      <c r="O16" s="1261"/>
      <c r="P16" s="1261"/>
      <c r="Q16" s="1261"/>
      <c r="R16" s="1261"/>
      <c r="S16" s="1261"/>
      <c r="T16" s="1261"/>
      <c r="U16" s="1261"/>
      <c r="V16" s="1261"/>
      <c r="W16" s="1261"/>
      <c r="X16" s="1261"/>
      <c r="Y16" s="1261"/>
      <c r="Z16" s="1261"/>
      <c r="AA16" s="1261"/>
      <c r="AB16" s="1261"/>
      <c r="AC16" s="1261"/>
      <c r="AD16" s="1261"/>
    </row>
    <row r="17" spans="1:30" ht="21" customHeight="1" x14ac:dyDescent="0.25">
      <c r="A17" s="1260" t="s">
        <v>563</v>
      </c>
      <c r="B17" s="1260"/>
      <c r="C17" s="1260"/>
      <c r="D17" s="1260"/>
      <c r="E17" s="1260"/>
      <c r="F17" s="1260"/>
      <c r="G17" s="1260"/>
      <c r="H17" s="1260"/>
      <c r="I17" s="1260"/>
      <c r="J17" s="1260"/>
      <c r="L17" s="9" t="s">
        <v>39</v>
      </c>
      <c r="U17" s="844"/>
      <c r="W17" s="8" t="s">
        <v>104</v>
      </c>
    </row>
    <row r="18" spans="1:30" ht="60" x14ac:dyDescent="0.2">
      <c r="A18" s="849" t="s">
        <v>1</v>
      </c>
      <c r="B18" s="850" t="s">
        <v>34</v>
      </c>
      <c r="C18" s="850" t="s">
        <v>35</v>
      </c>
      <c r="D18" s="850" t="s">
        <v>36</v>
      </c>
      <c r="E18" s="850" t="s">
        <v>172</v>
      </c>
      <c r="F18" s="850" t="s">
        <v>38</v>
      </c>
      <c r="G18" s="850" t="s">
        <v>37</v>
      </c>
      <c r="H18" s="850" t="s">
        <v>63</v>
      </c>
      <c r="I18" s="850" t="s">
        <v>64</v>
      </c>
      <c r="J18" s="850" t="s">
        <v>62</v>
      </c>
      <c r="L18" s="208" t="s">
        <v>1</v>
      </c>
      <c r="M18" s="209" t="s">
        <v>34</v>
      </c>
      <c r="N18" s="209" t="s">
        <v>35</v>
      </c>
      <c r="O18" s="209" t="s">
        <v>36</v>
      </c>
      <c r="P18" s="209" t="s">
        <v>172</v>
      </c>
      <c r="Q18" s="209" t="s">
        <v>38</v>
      </c>
      <c r="R18" s="209" t="s">
        <v>37</v>
      </c>
      <c r="S18" s="209" t="s">
        <v>63</v>
      </c>
      <c r="T18" s="209" t="s">
        <v>64</v>
      </c>
      <c r="U18" s="209" t="s">
        <v>62</v>
      </c>
      <c r="V18" s="133"/>
      <c r="W18" s="38"/>
      <c r="X18" s="343" t="s">
        <v>34</v>
      </c>
      <c r="Y18" s="343" t="s">
        <v>35</v>
      </c>
      <c r="Z18" s="343" t="s">
        <v>36</v>
      </c>
      <c r="AA18" s="343" t="s">
        <v>172</v>
      </c>
      <c r="AB18" s="343" t="s">
        <v>38</v>
      </c>
      <c r="AC18" s="343" t="s">
        <v>37</v>
      </c>
      <c r="AD18" s="343" t="s">
        <v>62</v>
      </c>
    </row>
    <row r="19" spans="1:30" s="39" customFormat="1" x14ac:dyDescent="0.2">
      <c r="A19" s="851" t="s">
        <v>8</v>
      </c>
      <c r="B19" s="852">
        <f>260400+20000</f>
        <v>280400</v>
      </c>
      <c r="C19" s="852">
        <v>4284</v>
      </c>
      <c r="D19" s="852">
        <v>24214</v>
      </c>
      <c r="E19" s="852">
        <v>17205</v>
      </c>
      <c r="F19" s="852">
        <v>1760</v>
      </c>
      <c r="G19" s="852">
        <v>0</v>
      </c>
      <c r="H19" s="852">
        <v>0</v>
      </c>
      <c r="I19" s="852">
        <v>0</v>
      </c>
      <c r="J19" s="852">
        <f>259+1250</f>
        <v>1509</v>
      </c>
      <c r="K19" s="30"/>
      <c r="L19" s="206" t="s">
        <v>8</v>
      </c>
      <c r="M19" s="207">
        <v>0</v>
      </c>
      <c r="N19" s="207">
        <v>0</v>
      </c>
      <c r="O19" s="207">
        <v>0</v>
      </c>
      <c r="P19" s="207">
        <v>0</v>
      </c>
      <c r="Q19" s="207">
        <v>0</v>
      </c>
      <c r="R19" s="207">
        <v>0</v>
      </c>
      <c r="S19" s="207">
        <v>0</v>
      </c>
      <c r="T19" s="207">
        <v>0</v>
      </c>
      <c r="U19" s="207">
        <v>0</v>
      </c>
      <c r="W19" s="125" t="s">
        <v>8</v>
      </c>
      <c r="X19" s="126">
        <v>280400</v>
      </c>
      <c r="Y19" s="126">
        <v>4284</v>
      </c>
      <c r="Z19" s="126">
        <v>24214</v>
      </c>
      <c r="AA19" s="126">
        <v>17205</v>
      </c>
      <c r="AB19" s="126">
        <v>1760</v>
      </c>
      <c r="AC19" s="126">
        <v>0</v>
      </c>
      <c r="AD19" s="126">
        <v>1509</v>
      </c>
    </row>
    <row r="20" spans="1:30" s="39" customFormat="1" x14ac:dyDescent="0.2">
      <c r="A20" s="851" t="s">
        <v>9</v>
      </c>
      <c r="B20" s="852">
        <v>0</v>
      </c>
      <c r="C20" s="852">
        <v>0</v>
      </c>
      <c r="D20" s="852">
        <v>12600</v>
      </c>
      <c r="E20" s="852">
        <v>5130</v>
      </c>
      <c r="F20" s="852">
        <v>0</v>
      </c>
      <c r="G20" s="911">
        <v>2000</v>
      </c>
      <c r="H20" s="852">
        <v>0</v>
      </c>
      <c r="I20" s="852">
        <v>0</v>
      </c>
      <c r="J20" s="852">
        <v>0</v>
      </c>
      <c r="K20" s="30"/>
      <c r="L20" s="206" t="s">
        <v>9</v>
      </c>
      <c r="M20" s="207">
        <v>0</v>
      </c>
      <c r="N20" s="207">
        <v>20000</v>
      </c>
      <c r="O20" s="207">
        <v>0</v>
      </c>
      <c r="P20" s="207">
        <v>0</v>
      </c>
      <c r="Q20" s="207">
        <v>0</v>
      </c>
      <c r="R20" s="207">
        <v>0</v>
      </c>
      <c r="S20" s="207">
        <v>0</v>
      </c>
      <c r="T20" s="207">
        <v>0</v>
      </c>
      <c r="U20" s="207">
        <v>0</v>
      </c>
      <c r="W20" s="125" t="s">
        <v>9</v>
      </c>
      <c r="X20" s="126">
        <v>0</v>
      </c>
      <c r="Y20" s="126">
        <v>20515</v>
      </c>
      <c r="Z20" s="126">
        <v>16300</v>
      </c>
      <c r="AA20" s="126">
        <v>5130</v>
      </c>
      <c r="AB20" s="126">
        <v>0</v>
      </c>
      <c r="AC20" s="126">
        <v>2000</v>
      </c>
      <c r="AD20" s="126">
        <v>0</v>
      </c>
    </row>
    <row r="21" spans="1:30" s="39" customFormat="1" x14ac:dyDescent="0.2">
      <c r="A21" s="851" t="s">
        <v>11</v>
      </c>
      <c r="B21" s="852">
        <v>0</v>
      </c>
      <c r="C21" s="852">
        <v>17280</v>
      </c>
      <c r="D21" s="852">
        <v>17478</v>
      </c>
      <c r="E21" s="852">
        <v>0</v>
      </c>
      <c r="F21" s="852">
        <f>22-22</f>
        <v>0</v>
      </c>
      <c r="G21" s="852">
        <v>47000</v>
      </c>
      <c r="H21" s="852">
        <v>0</v>
      </c>
      <c r="I21" s="852">
        <v>0</v>
      </c>
      <c r="J21" s="852">
        <v>0</v>
      </c>
      <c r="K21" s="30"/>
      <c r="L21" s="206" t="s">
        <v>11</v>
      </c>
      <c r="M21" s="207">
        <v>0</v>
      </c>
      <c r="N21" s="207">
        <v>20000</v>
      </c>
      <c r="O21" s="207">
        <v>0</v>
      </c>
      <c r="P21" s="207">
        <v>0</v>
      </c>
      <c r="Q21" s="207">
        <v>0</v>
      </c>
      <c r="R21" s="207">
        <v>0</v>
      </c>
      <c r="S21" s="207">
        <v>0</v>
      </c>
      <c r="T21" s="207">
        <v>0</v>
      </c>
      <c r="U21" s="207">
        <v>0</v>
      </c>
      <c r="W21" s="125" t="s">
        <v>11</v>
      </c>
      <c r="X21" s="126">
        <v>0</v>
      </c>
      <c r="Y21" s="126">
        <v>20800</v>
      </c>
      <c r="Z21" s="126">
        <v>20000</v>
      </c>
      <c r="AA21" s="126">
        <v>0</v>
      </c>
      <c r="AB21" s="126">
        <v>0</v>
      </c>
      <c r="AC21" s="126">
        <v>72000</v>
      </c>
      <c r="AD21" s="126">
        <v>0</v>
      </c>
    </row>
    <row r="22" spans="1:30" s="39" customFormat="1" x14ac:dyDescent="0.2">
      <c r="A22" s="851" t="s">
        <v>10</v>
      </c>
      <c r="B22" s="852">
        <v>0</v>
      </c>
      <c r="C22" s="852">
        <v>0</v>
      </c>
      <c r="D22" s="852">
        <v>5360</v>
      </c>
      <c r="E22" s="852">
        <v>0</v>
      </c>
      <c r="F22" s="852">
        <v>0</v>
      </c>
      <c r="G22" s="852">
        <v>0</v>
      </c>
      <c r="H22" s="852">
        <v>0</v>
      </c>
      <c r="I22" s="852">
        <v>0</v>
      </c>
      <c r="J22" s="852">
        <v>0</v>
      </c>
      <c r="K22" s="30"/>
      <c r="L22" s="206" t="s">
        <v>10</v>
      </c>
      <c r="M22" s="207">
        <v>0</v>
      </c>
      <c r="N22" s="207">
        <v>0</v>
      </c>
      <c r="O22" s="207">
        <v>10000</v>
      </c>
      <c r="P22" s="207">
        <v>0</v>
      </c>
      <c r="Q22" s="207">
        <v>0</v>
      </c>
      <c r="R22" s="207">
        <v>0</v>
      </c>
      <c r="S22" s="207">
        <v>0</v>
      </c>
      <c r="T22" s="207">
        <v>0</v>
      </c>
      <c r="U22" s="207">
        <v>0</v>
      </c>
      <c r="W22" s="125" t="s">
        <v>10</v>
      </c>
      <c r="X22" s="126">
        <v>0</v>
      </c>
      <c r="Y22" s="126">
        <v>7830</v>
      </c>
      <c r="Z22" s="126">
        <v>30150</v>
      </c>
      <c r="AA22" s="126">
        <v>0</v>
      </c>
      <c r="AB22" s="126">
        <v>0</v>
      </c>
      <c r="AC22" s="126">
        <v>0</v>
      </c>
      <c r="AD22" s="126">
        <v>0</v>
      </c>
    </row>
    <row r="23" spans="1:30" s="39" customFormat="1" x14ac:dyDescent="0.2">
      <c r="A23" s="851" t="s">
        <v>12</v>
      </c>
      <c r="B23" s="852">
        <v>0</v>
      </c>
      <c r="C23" s="852">
        <v>42204</v>
      </c>
      <c r="D23" s="852">
        <v>14346</v>
      </c>
      <c r="E23" s="852">
        <v>1635</v>
      </c>
      <c r="F23" s="852">
        <v>0</v>
      </c>
      <c r="G23" s="853">
        <v>50200</v>
      </c>
      <c r="H23" s="852">
        <v>0</v>
      </c>
      <c r="I23" s="852">
        <v>0</v>
      </c>
      <c r="J23" s="852">
        <v>924</v>
      </c>
      <c r="K23" s="30"/>
      <c r="L23" s="206" t="s">
        <v>12</v>
      </c>
      <c r="M23" s="207">
        <v>0</v>
      </c>
      <c r="N23" s="207">
        <v>0</v>
      </c>
      <c r="O23" s="207">
        <v>0</v>
      </c>
      <c r="P23" s="207">
        <v>0</v>
      </c>
      <c r="Q23" s="207">
        <v>0</v>
      </c>
      <c r="R23" s="207">
        <v>0</v>
      </c>
      <c r="S23" s="207">
        <v>0</v>
      </c>
      <c r="T23" s="207">
        <v>0</v>
      </c>
      <c r="U23" s="207">
        <v>0</v>
      </c>
      <c r="W23" s="125" t="s">
        <v>12</v>
      </c>
      <c r="X23" s="126">
        <v>0</v>
      </c>
      <c r="Y23" s="126">
        <v>48112</v>
      </c>
      <c r="Z23" s="126">
        <v>1468</v>
      </c>
      <c r="AA23" s="126">
        <v>1635</v>
      </c>
      <c r="AB23" s="126">
        <v>0</v>
      </c>
      <c r="AC23" s="126">
        <v>127500</v>
      </c>
      <c r="AD23" s="126">
        <v>924</v>
      </c>
    </row>
    <row r="24" spans="1:30" s="123" customFormat="1" x14ac:dyDescent="0.2">
      <c r="A24" s="847" t="s">
        <v>13</v>
      </c>
      <c r="B24" s="854">
        <f t="shared" ref="B24" si="9">SUM(B19:B23)</f>
        <v>280400</v>
      </c>
      <c r="C24" s="854">
        <f>SUM(C19:C23)</f>
        <v>63768</v>
      </c>
      <c r="D24" s="854">
        <f t="shared" ref="D24:G24" si="10">SUM(D19:D23)</f>
        <v>73998</v>
      </c>
      <c r="E24" s="854">
        <f t="shared" si="10"/>
        <v>23970</v>
      </c>
      <c r="F24" s="854">
        <f t="shared" si="10"/>
        <v>1760</v>
      </c>
      <c r="G24" s="854">
        <f t="shared" si="10"/>
        <v>99200</v>
      </c>
      <c r="H24" s="854">
        <v>0</v>
      </c>
      <c r="I24" s="854">
        <v>0</v>
      </c>
      <c r="J24" s="854">
        <f>SUM(J19:J23)</f>
        <v>2433</v>
      </c>
      <c r="K24" s="30"/>
      <c r="L24" s="287" t="s">
        <v>13</v>
      </c>
      <c r="M24" s="854">
        <f t="shared" ref="M24:U24" si="11">SUM(M19:M23)</f>
        <v>0</v>
      </c>
      <c r="N24" s="854">
        <v>40000</v>
      </c>
      <c r="O24" s="854">
        <v>10000</v>
      </c>
      <c r="P24" s="854">
        <f t="shared" si="11"/>
        <v>0</v>
      </c>
      <c r="Q24" s="854">
        <f t="shared" si="11"/>
        <v>0</v>
      </c>
      <c r="R24" s="854">
        <f t="shared" si="11"/>
        <v>0</v>
      </c>
      <c r="S24" s="854">
        <f t="shared" si="11"/>
        <v>0</v>
      </c>
      <c r="T24" s="854">
        <f t="shared" si="11"/>
        <v>0</v>
      </c>
      <c r="U24" s="854">
        <f t="shared" si="11"/>
        <v>0</v>
      </c>
      <c r="W24" s="288" t="s">
        <v>13</v>
      </c>
      <c r="X24" s="289">
        <f>B24+M24</f>
        <v>280400</v>
      </c>
      <c r="Y24" s="289">
        <f t="shared" ref="Y24:Y25" si="12">C24+N24</f>
        <v>103768</v>
      </c>
      <c r="Z24" s="289">
        <f t="shared" ref="Z24:Z25" si="13">D24+O24</f>
        <v>83998</v>
      </c>
      <c r="AA24" s="289">
        <f t="shared" ref="AA24:AA25" si="14">E24+P24</f>
        <v>23970</v>
      </c>
      <c r="AB24" s="289">
        <f t="shared" ref="AB24:AB25" si="15">F24+Q24</f>
        <v>1760</v>
      </c>
      <c r="AC24" s="289">
        <f t="shared" ref="AC24:AC25" si="16">G24+R24</f>
        <v>99200</v>
      </c>
      <c r="AD24" s="289">
        <f t="shared" ref="AD24" si="17">J24+U24</f>
        <v>2433</v>
      </c>
    </row>
    <row r="25" spans="1:30" s="291" customFormat="1" x14ac:dyDescent="0.2">
      <c r="A25" s="847" t="s">
        <v>14</v>
      </c>
      <c r="B25" s="290">
        <v>0</v>
      </c>
      <c r="C25" s="290">
        <v>0</v>
      </c>
      <c r="D25" s="290">
        <v>0</v>
      </c>
      <c r="E25" s="290">
        <v>0</v>
      </c>
      <c r="F25" s="848">
        <v>0</v>
      </c>
      <c r="G25" s="290">
        <v>0</v>
      </c>
      <c r="H25" s="848">
        <v>0</v>
      </c>
      <c r="I25" s="848">
        <v>0</v>
      </c>
      <c r="J25" s="848">
        <v>0</v>
      </c>
      <c r="K25" s="30"/>
      <c r="L25" s="847" t="s">
        <v>14</v>
      </c>
      <c r="M25" s="848">
        <v>0</v>
      </c>
      <c r="N25" s="848">
        <v>0</v>
      </c>
      <c r="O25" s="848">
        <v>0</v>
      </c>
      <c r="P25" s="848">
        <v>0</v>
      </c>
      <c r="Q25" s="848">
        <v>0</v>
      </c>
      <c r="R25" s="848">
        <v>0</v>
      </c>
      <c r="S25" s="848">
        <v>0</v>
      </c>
      <c r="T25" s="848">
        <v>0</v>
      </c>
      <c r="U25" s="848">
        <v>0</v>
      </c>
      <c r="W25" s="288" t="s">
        <v>14</v>
      </c>
      <c r="X25" s="289">
        <f>B25+M25</f>
        <v>0</v>
      </c>
      <c r="Y25" s="289">
        <f t="shared" si="12"/>
        <v>0</v>
      </c>
      <c r="Z25" s="289">
        <f t="shared" si="13"/>
        <v>0</v>
      </c>
      <c r="AA25" s="289">
        <f t="shared" si="14"/>
        <v>0</v>
      </c>
      <c r="AB25" s="289">
        <f t="shared" si="15"/>
        <v>0</v>
      </c>
      <c r="AC25" s="289">
        <f t="shared" si="16"/>
        <v>0</v>
      </c>
      <c r="AD25" s="289">
        <f t="shared" ref="AD25" si="18">H25+S25</f>
        <v>0</v>
      </c>
    </row>
    <row r="26" spans="1:30" s="40" customFormat="1" x14ac:dyDescent="0.2">
      <c r="A26" s="845" t="s">
        <v>15</v>
      </c>
      <c r="B26" s="846">
        <f>B25+B24</f>
        <v>280400</v>
      </c>
      <c r="C26" s="846">
        <f t="shared" ref="C26:J26" si="19">C25+C24</f>
        <v>63768</v>
      </c>
      <c r="D26" s="846">
        <f t="shared" si="19"/>
        <v>73998</v>
      </c>
      <c r="E26" s="846">
        <f t="shared" si="19"/>
        <v>23970</v>
      </c>
      <c r="F26" s="846">
        <f t="shared" si="19"/>
        <v>1760</v>
      </c>
      <c r="G26" s="846">
        <f t="shared" si="19"/>
        <v>99200</v>
      </c>
      <c r="H26" s="846">
        <f t="shared" si="19"/>
        <v>0</v>
      </c>
      <c r="I26" s="846">
        <f t="shared" si="19"/>
        <v>0</v>
      </c>
      <c r="J26" s="846">
        <f t="shared" si="19"/>
        <v>2433</v>
      </c>
      <c r="K26" s="30"/>
      <c r="L26" s="845" t="s">
        <v>15</v>
      </c>
      <c r="M26" s="846">
        <f t="shared" ref="M26:U26" si="20">M24+M25</f>
        <v>0</v>
      </c>
      <c r="N26" s="846">
        <f t="shared" si="20"/>
        <v>40000</v>
      </c>
      <c r="O26" s="846">
        <f t="shared" si="20"/>
        <v>10000</v>
      </c>
      <c r="P26" s="846">
        <f t="shared" si="20"/>
        <v>0</v>
      </c>
      <c r="Q26" s="846">
        <f t="shared" si="20"/>
        <v>0</v>
      </c>
      <c r="R26" s="846">
        <f t="shared" si="20"/>
        <v>0</v>
      </c>
      <c r="S26" s="846">
        <f t="shared" si="20"/>
        <v>0</v>
      </c>
      <c r="T26" s="846">
        <f t="shared" si="20"/>
        <v>0</v>
      </c>
      <c r="U26" s="846">
        <f t="shared" si="20"/>
        <v>0</v>
      </c>
      <c r="W26" s="344" t="s">
        <v>15</v>
      </c>
      <c r="X26" s="41">
        <f t="shared" ref="X26" si="21">X24+X25</f>
        <v>280400</v>
      </c>
      <c r="Y26" s="41">
        <f>Y24+Y25</f>
        <v>103768</v>
      </c>
      <c r="Z26" s="41">
        <f t="shared" ref="Z26:AD26" si="22">Z24+Z25</f>
        <v>83998</v>
      </c>
      <c r="AA26" s="41">
        <f t="shared" si="22"/>
        <v>23970</v>
      </c>
      <c r="AB26" s="41">
        <f t="shared" si="22"/>
        <v>1760</v>
      </c>
      <c r="AC26" s="41">
        <f t="shared" si="22"/>
        <v>99200</v>
      </c>
      <c r="AD26" s="41">
        <f t="shared" si="22"/>
        <v>2433</v>
      </c>
    </row>
  </sheetData>
  <mergeCells count="3">
    <mergeCell ref="A17:J17"/>
    <mergeCell ref="A16:AD16"/>
    <mergeCell ref="A3:J3"/>
  </mergeCells>
  <pageMargins left="0.7" right="0.7" top="0.75" bottom="0.75" header="0.3" footer="0.3"/>
  <pageSetup paperSize="9" scale="3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zoomScale="82" zoomScaleNormal="82" workbookViewId="0">
      <selection activeCell="C28" sqref="C28"/>
    </sheetView>
  </sheetViews>
  <sheetFormatPr defaultColWidth="9.140625" defaultRowHeight="15" x14ac:dyDescent="0.25"/>
  <cols>
    <col min="1" max="1" width="10.85546875" style="262" customWidth="1"/>
    <col min="2" max="2" width="12.140625" style="244" customWidth="1"/>
    <col min="3" max="3" width="12.28515625" style="262" customWidth="1"/>
    <col min="4" max="4" width="10.85546875" customWidth="1"/>
    <col min="5" max="5" width="9.42578125" customWidth="1"/>
    <col min="6" max="6" width="10.28515625" customWidth="1"/>
    <col min="7" max="7" width="9.42578125" customWidth="1"/>
    <col min="8" max="8" width="9.5703125" style="245" customWidth="1"/>
    <col min="9" max="9" width="11.85546875" style="276" customWidth="1"/>
    <col min="10" max="10" width="11.85546875" style="124" customWidth="1"/>
    <col min="11" max="11" width="10.7109375" customWidth="1"/>
    <col min="12" max="12" width="10.5703125" customWidth="1"/>
    <col min="13" max="13" width="51.28515625" customWidth="1"/>
    <col min="14" max="14" width="11.28515625" customWidth="1"/>
    <col min="18" max="18" width="36.7109375" customWidth="1"/>
  </cols>
  <sheetData>
    <row r="1" spans="1:16" ht="15.75" thickBot="1" x14ac:dyDescent="0.3"/>
    <row r="2" spans="1:16" ht="19.5" thickBot="1" x14ac:dyDescent="0.35">
      <c r="B2" s="1264" t="s">
        <v>124</v>
      </c>
      <c r="C2" s="1265"/>
      <c r="D2" s="1265"/>
      <c r="E2" s="1265"/>
      <c r="F2" s="1265"/>
      <c r="G2" s="1265"/>
      <c r="H2" s="1265"/>
      <c r="I2" s="1265"/>
      <c r="J2" s="1265"/>
      <c r="K2" s="1265"/>
      <c r="L2" s="1265"/>
      <c r="M2" s="1266"/>
    </row>
    <row r="3" spans="1:16" x14ac:dyDescent="0.25">
      <c r="A3" s="263"/>
      <c r="B3" s="248"/>
      <c r="M3" s="246"/>
    </row>
    <row r="4" spans="1:16" ht="15.75" thickBot="1" x14ac:dyDescent="0.3">
      <c r="A4" s="264"/>
      <c r="B4" s="266"/>
      <c r="E4" s="4">
        <v>14.637357814271599</v>
      </c>
      <c r="F4" s="5">
        <v>26.487692476500495</v>
      </c>
      <c r="G4" s="5">
        <v>16.729453933652756</v>
      </c>
      <c r="H4" s="5">
        <v>42.145495775575142</v>
      </c>
      <c r="J4"/>
      <c r="M4" s="246"/>
    </row>
    <row r="5" spans="1:16" x14ac:dyDescent="0.25">
      <c r="A5" s="1285" t="s">
        <v>116</v>
      </c>
      <c r="B5" s="1267" t="s">
        <v>110</v>
      </c>
      <c r="C5" s="1269" t="s">
        <v>112</v>
      </c>
      <c r="D5" s="1271" t="s">
        <v>30</v>
      </c>
      <c r="E5" s="1273" t="s">
        <v>90</v>
      </c>
      <c r="F5" s="1273" t="s">
        <v>91</v>
      </c>
      <c r="G5" s="1273" t="s">
        <v>92</v>
      </c>
      <c r="H5" s="1273" t="s">
        <v>93</v>
      </c>
      <c r="I5" s="1275" t="s">
        <v>94</v>
      </c>
      <c r="J5" s="1277" t="s">
        <v>46</v>
      </c>
      <c r="K5" s="204" t="s">
        <v>95</v>
      </c>
      <c r="L5" s="205" t="s">
        <v>97</v>
      </c>
      <c r="M5" s="1262" t="s">
        <v>111</v>
      </c>
    </row>
    <row r="6" spans="1:16" ht="24.75" customHeight="1" thickBot="1" x14ac:dyDescent="0.3">
      <c r="A6" s="1286"/>
      <c r="B6" s="1268"/>
      <c r="C6" s="1270"/>
      <c r="D6" s="1272"/>
      <c r="E6" s="1274"/>
      <c r="F6" s="1274"/>
      <c r="G6" s="1274"/>
      <c r="H6" s="1274"/>
      <c r="I6" s="1276"/>
      <c r="J6" s="1278"/>
      <c r="K6" s="202" t="s">
        <v>96</v>
      </c>
      <c r="L6" s="203" t="s">
        <v>95</v>
      </c>
      <c r="M6" s="1263"/>
    </row>
    <row r="7" spans="1:16" ht="15.75" thickBot="1" x14ac:dyDescent="0.3">
      <c r="A7" s="255">
        <v>1206</v>
      </c>
      <c r="B7" s="259">
        <v>4227</v>
      </c>
      <c r="C7" s="267" t="s">
        <v>109</v>
      </c>
      <c r="D7" s="269">
        <v>212500</v>
      </c>
      <c r="E7" s="256">
        <v>0</v>
      </c>
      <c r="F7" s="256">
        <v>0</v>
      </c>
      <c r="G7" s="256">
        <v>0</v>
      </c>
      <c r="H7" s="256">
        <v>0</v>
      </c>
      <c r="I7" s="277">
        <f t="shared" ref="I7:I25" si="0">SUM(E7:H7)</f>
        <v>0</v>
      </c>
      <c r="J7" s="270">
        <v>0</v>
      </c>
      <c r="K7" s="249">
        <v>44197</v>
      </c>
      <c r="L7" s="250">
        <v>44409</v>
      </c>
      <c r="M7" s="251" t="s">
        <v>107</v>
      </c>
    </row>
    <row r="8" spans="1:16" x14ac:dyDescent="0.25">
      <c r="A8" s="255">
        <v>12087</v>
      </c>
      <c r="B8" s="260">
        <v>4159</v>
      </c>
      <c r="C8" s="267" t="s">
        <v>109</v>
      </c>
      <c r="D8" s="271">
        <v>0</v>
      </c>
      <c r="E8" s="257">
        <v>16650</v>
      </c>
      <c r="F8" s="257">
        <v>22500</v>
      </c>
      <c r="G8" s="257">
        <v>19800</v>
      </c>
      <c r="H8" s="257">
        <v>49500</v>
      </c>
      <c r="I8" s="277">
        <f>SUM(E8:H8)</f>
        <v>108450</v>
      </c>
      <c r="J8" s="272">
        <v>0</v>
      </c>
      <c r="K8" s="253"/>
      <c r="L8" s="254"/>
      <c r="M8" s="234"/>
    </row>
    <row r="9" spans="1:16" x14ac:dyDescent="0.25">
      <c r="A9" s="265">
        <v>11402</v>
      </c>
      <c r="B9" s="259">
        <v>4107</v>
      </c>
      <c r="C9" s="267" t="s">
        <v>113</v>
      </c>
      <c r="D9" s="271">
        <v>0</v>
      </c>
      <c r="E9" s="257">
        <v>0</v>
      </c>
      <c r="F9" s="257">
        <v>0</v>
      </c>
      <c r="G9" s="257">
        <v>0</v>
      </c>
      <c r="H9" s="257">
        <v>0</v>
      </c>
      <c r="I9" s="277">
        <f t="shared" si="0"/>
        <v>0</v>
      </c>
      <c r="J9" s="273">
        <v>8000000</v>
      </c>
      <c r="K9" s="253"/>
      <c r="L9" s="254"/>
      <c r="M9" s="232" t="s">
        <v>115</v>
      </c>
    </row>
    <row r="10" spans="1:16" x14ac:dyDescent="0.25">
      <c r="A10" s="282">
        <v>12227</v>
      </c>
      <c r="B10" s="283">
        <v>4385</v>
      </c>
      <c r="C10" s="267" t="s">
        <v>113</v>
      </c>
      <c r="D10" s="271">
        <v>800000</v>
      </c>
      <c r="E10" s="280">
        <v>0</v>
      </c>
      <c r="F10" s="280">
        <v>0</v>
      </c>
      <c r="G10" s="280">
        <v>0</v>
      </c>
      <c r="H10" s="280">
        <v>0</v>
      </c>
      <c r="I10" s="277">
        <f t="shared" si="0"/>
        <v>0</v>
      </c>
      <c r="J10" s="273">
        <v>0</v>
      </c>
      <c r="K10" s="253">
        <v>44228</v>
      </c>
      <c r="L10" s="254">
        <v>44470</v>
      </c>
      <c r="M10" s="281" t="s">
        <v>119</v>
      </c>
    </row>
    <row r="11" spans="1:16" x14ac:dyDescent="0.25">
      <c r="A11" s="255">
        <v>12260</v>
      </c>
      <c r="B11" s="260">
        <v>4327</v>
      </c>
      <c r="C11" s="267" t="s">
        <v>113</v>
      </c>
      <c r="D11" s="274">
        <v>0</v>
      </c>
      <c r="E11" s="257">
        <v>21000</v>
      </c>
      <c r="F11" s="257">
        <v>72000</v>
      </c>
      <c r="G11" s="257">
        <v>30000</v>
      </c>
      <c r="H11" s="257">
        <v>261000</v>
      </c>
      <c r="I11" s="277">
        <f>SUM(E11:H11)</f>
        <v>384000</v>
      </c>
      <c r="J11" s="273">
        <v>0</v>
      </c>
      <c r="K11" s="258">
        <v>44228</v>
      </c>
      <c r="L11" s="254">
        <v>44440</v>
      </c>
      <c r="M11" s="252" t="s">
        <v>114</v>
      </c>
    </row>
    <row r="12" spans="1:16" x14ac:dyDescent="0.25">
      <c r="A12" s="315">
        <v>12719</v>
      </c>
      <c r="B12" s="283">
        <v>4899</v>
      </c>
      <c r="C12" s="267" t="s">
        <v>113</v>
      </c>
      <c r="D12" s="271">
        <v>800000</v>
      </c>
      <c r="E12" s="257">
        <v>0</v>
      </c>
      <c r="F12" s="257">
        <v>0</v>
      </c>
      <c r="G12" s="257">
        <v>0</v>
      </c>
      <c r="H12" s="257">
        <v>0</v>
      </c>
      <c r="I12" s="257">
        <f t="shared" si="0"/>
        <v>0</v>
      </c>
      <c r="J12" s="272">
        <v>0</v>
      </c>
      <c r="K12" s="253">
        <v>44378</v>
      </c>
      <c r="L12" s="254">
        <v>44531</v>
      </c>
      <c r="M12" s="281" t="s">
        <v>147</v>
      </c>
    </row>
    <row r="13" spans="1:16" x14ac:dyDescent="0.25">
      <c r="A13" s="315">
        <v>13964</v>
      </c>
      <c r="B13" s="283">
        <v>4898</v>
      </c>
      <c r="C13" s="267" t="s">
        <v>113</v>
      </c>
      <c r="D13" s="339">
        <v>0</v>
      </c>
      <c r="E13" s="257">
        <v>0</v>
      </c>
      <c r="F13" s="257">
        <v>0</v>
      </c>
      <c r="G13" s="257">
        <v>0</v>
      </c>
      <c r="H13" s="340">
        <v>0</v>
      </c>
      <c r="I13" s="257">
        <f t="shared" si="0"/>
        <v>0</v>
      </c>
      <c r="J13" s="272">
        <v>9000000</v>
      </c>
      <c r="K13" s="253">
        <v>44378</v>
      </c>
      <c r="L13" s="254">
        <v>44531</v>
      </c>
      <c r="M13" s="341" t="s">
        <v>121</v>
      </c>
    </row>
    <row r="14" spans="1:16" x14ac:dyDescent="0.25">
      <c r="A14" s="315">
        <v>13965</v>
      </c>
      <c r="B14" s="283">
        <v>4897</v>
      </c>
      <c r="C14" s="267" t="s">
        <v>113</v>
      </c>
      <c r="D14" s="271">
        <v>0</v>
      </c>
      <c r="E14" s="257">
        <v>78000</v>
      </c>
      <c r="F14" s="257">
        <v>120000</v>
      </c>
      <c r="G14" s="257">
        <v>75000</v>
      </c>
      <c r="H14" s="257">
        <v>180000</v>
      </c>
      <c r="I14" s="277">
        <f t="shared" si="0"/>
        <v>453000</v>
      </c>
      <c r="J14" s="272">
        <v>0</v>
      </c>
      <c r="K14" s="253">
        <v>44378</v>
      </c>
      <c r="L14" s="254">
        <v>44531</v>
      </c>
      <c r="M14" s="281" t="s">
        <v>122</v>
      </c>
    </row>
    <row r="15" spans="1:16" s="124" customFormat="1" x14ac:dyDescent="0.25">
      <c r="A15" s="315">
        <v>15627</v>
      </c>
      <c r="B15" s="316"/>
      <c r="C15" s="317" t="s">
        <v>113</v>
      </c>
      <c r="D15" s="312">
        <v>0</v>
      </c>
      <c r="E15" s="318">
        <v>81000</v>
      </c>
      <c r="F15" s="318">
        <v>126000</v>
      </c>
      <c r="G15" s="318">
        <v>102000</v>
      </c>
      <c r="H15" s="318">
        <v>126000</v>
      </c>
      <c r="I15" s="318">
        <f t="shared" si="0"/>
        <v>435000</v>
      </c>
      <c r="J15" s="319">
        <v>0</v>
      </c>
      <c r="K15" s="320">
        <v>44470</v>
      </c>
      <c r="L15" s="321">
        <v>44621</v>
      </c>
      <c r="M15" s="322" t="s">
        <v>146</v>
      </c>
      <c r="P15" s="124">
        <f>425000/25</f>
        <v>17000</v>
      </c>
    </row>
    <row r="16" spans="1:16" s="124" customFormat="1" x14ac:dyDescent="0.25">
      <c r="A16" s="315">
        <v>15628</v>
      </c>
      <c r="B16" s="316"/>
      <c r="C16" s="317" t="s">
        <v>113</v>
      </c>
      <c r="D16" s="312">
        <v>900000</v>
      </c>
      <c r="E16" s="318">
        <v>0</v>
      </c>
      <c r="F16" s="318">
        <v>0</v>
      </c>
      <c r="G16" s="318">
        <v>0</v>
      </c>
      <c r="H16" s="318">
        <v>0</v>
      </c>
      <c r="I16" s="318">
        <f t="shared" si="0"/>
        <v>0</v>
      </c>
      <c r="J16" s="319">
        <v>0</v>
      </c>
      <c r="K16" s="320">
        <v>44470</v>
      </c>
      <c r="L16" s="321">
        <v>44621</v>
      </c>
      <c r="M16" s="323" t="s">
        <v>148</v>
      </c>
    </row>
    <row r="17" spans="1:16" s="6" customFormat="1" x14ac:dyDescent="0.25">
      <c r="A17" s="315">
        <v>15629</v>
      </c>
      <c r="B17" s="316"/>
      <c r="C17" s="317" t="s">
        <v>113</v>
      </c>
      <c r="D17" s="312">
        <v>840000</v>
      </c>
      <c r="E17" s="318">
        <v>0</v>
      </c>
      <c r="F17" s="318">
        <v>0</v>
      </c>
      <c r="G17" s="318">
        <v>0</v>
      </c>
      <c r="H17" s="318">
        <v>0</v>
      </c>
      <c r="I17" s="318">
        <f t="shared" si="0"/>
        <v>0</v>
      </c>
      <c r="J17" s="319">
        <v>0</v>
      </c>
      <c r="K17" s="320">
        <v>44470</v>
      </c>
      <c r="L17" s="321">
        <v>44743</v>
      </c>
      <c r="M17" s="322" t="s">
        <v>150</v>
      </c>
    </row>
    <row r="18" spans="1:16" s="324" customFormat="1" x14ac:dyDescent="0.25">
      <c r="A18" s="325">
        <v>15784</v>
      </c>
      <c r="B18" s="326"/>
      <c r="C18" s="327" t="s">
        <v>113</v>
      </c>
      <c r="D18" s="328">
        <v>0</v>
      </c>
      <c r="E18" s="329">
        <v>72000</v>
      </c>
      <c r="F18" s="329">
        <v>138000</v>
      </c>
      <c r="G18" s="329">
        <v>78000</v>
      </c>
      <c r="H18" s="329">
        <v>141000</v>
      </c>
      <c r="I18" s="329">
        <f t="shared" si="0"/>
        <v>429000</v>
      </c>
      <c r="J18" s="330">
        <v>0</v>
      </c>
      <c r="K18" s="331">
        <v>44470</v>
      </c>
      <c r="L18" s="332">
        <v>44743</v>
      </c>
      <c r="M18" s="333" t="s">
        <v>154</v>
      </c>
    </row>
    <row r="19" spans="1:16" s="324" customFormat="1" x14ac:dyDescent="0.25">
      <c r="A19" s="325"/>
      <c r="B19" s="326"/>
      <c r="C19" s="327"/>
      <c r="D19" s="328"/>
      <c r="E19" s="334">
        <v>72000</v>
      </c>
      <c r="F19" s="334">
        <v>137700</v>
      </c>
      <c r="G19" s="334">
        <v>77190</v>
      </c>
      <c r="H19" s="334">
        <v>140730</v>
      </c>
      <c r="I19" s="334">
        <f t="shared" si="0"/>
        <v>427620</v>
      </c>
      <c r="J19" s="335"/>
      <c r="K19" s="336" t="s">
        <v>155</v>
      </c>
      <c r="L19" s="337"/>
      <c r="M19" s="338"/>
    </row>
    <row r="20" spans="1:16" x14ac:dyDescent="0.25">
      <c r="A20" s="406">
        <v>15789</v>
      </c>
      <c r="B20" s="407">
        <v>6557</v>
      </c>
      <c r="C20" s="408" t="s">
        <v>113</v>
      </c>
      <c r="D20" s="409">
        <v>900000</v>
      </c>
      <c r="E20" s="410">
        <v>0</v>
      </c>
      <c r="F20" s="410">
        <v>0</v>
      </c>
      <c r="G20" s="410">
        <v>0</v>
      </c>
      <c r="H20" s="410">
        <v>0</v>
      </c>
      <c r="I20" s="410">
        <f t="shared" si="0"/>
        <v>0</v>
      </c>
      <c r="J20" s="411">
        <v>0</v>
      </c>
      <c r="K20" s="412">
        <v>44621</v>
      </c>
      <c r="L20" s="413">
        <v>44835</v>
      </c>
      <c r="M20" s="414" t="s">
        <v>173</v>
      </c>
    </row>
    <row r="21" spans="1:16" x14ac:dyDescent="0.25">
      <c r="A21" s="391">
        <v>17800</v>
      </c>
      <c r="B21" s="392">
        <v>6478</v>
      </c>
      <c r="C21" s="393" t="s">
        <v>113</v>
      </c>
      <c r="D21" s="394">
        <v>0</v>
      </c>
      <c r="E21" s="395">
        <v>13200</v>
      </c>
      <c r="F21" s="395">
        <v>99000</v>
      </c>
      <c r="G21" s="395">
        <v>51000</v>
      </c>
      <c r="H21" s="395">
        <v>159000</v>
      </c>
      <c r="I21" s="395">
        <f t="shared" si="0"/>
        <v>322200</v>
      </c>
      <c r="J21" s="396">
        <v>0</v>
      </c>
      <c r="K21" s="397">
        <v>44621</v>
      </c>
      <c r="L21" s="398">
        <v>44835</v>
      </c>
      <c r="M21" s="399" t="s">
        <v>170</v>
      </c>
    </row>
    <row r="22" spans="1:16" x14ac:dyDescent="0.25">
      <c r="A22" s="391">
        <v>17800</v>
      </c>
      <c r="B22" s="392">
        <v>6478</v>
      </c>
      <c r="C22" s="393" t="s">
        <v>113</v>
      </c>
      <c r="D22" s="394">
        <v>0</v>
      </c>
      <c r="E22" s="395">
        <v>0</v>
      </c>
      <c r="F22" s="395">
        <v>0</v>
      </c>
      <c r="G22" s="395">
        <v>0</v>
      </c>
      <c r="H22" s="395">
        <v>0</v>
      </c>
      <c r="I22" s="395">
        <f t="shared" si="0"/>
        <v>0</v>
      </c>
      <c r="J22" s="396">
        <v>7500000</v>
      </c>
      <c r="K22" s="397">
        <v>44621</v>
      </c>
      <c r="L22" s="398">
        <v>44835</v>
      </c>
      <c r="M22" s="399" t="s">
        <v>171</v>
      </c>
    </row>
    <row r="23" spans="1:16" x14ac:dyDescent="0.25">
      <c r="A23" s="406">
        <v>17802</v>
      </c>
      <c r="B23" s="407"/>
      <c r="C23" s="408" t="s">
        <v>113</v>
      </c>
      <c r="D23" s="409" t="s">
        <v>159</v>
      </c>
      <c r="E23" s="410">
        <v>0</v>
      </c>
      <c r="F23" s="410">
        <v>0</v>
      </c>
      <c r="G23" s="410">
        <v>0</v>
      </c>
      <c r="H23" s="410">
        <v>0</v>
      </c>
      <c r="I23" s="410">
        <f t="shared" si="0"/>
        <v>0</v>
      </c>
      <c r="J23" s="411">
        <v>900000</v>
      </c>
      <c r="K23" s="412">
        <v>44682</v>
      </c>
      <c r="L23" s="413">
        <v>44927</v>
      </c>
      <c r="M23" s="443" t="s">
        <v>185</v>
      </c>
    </row>
    <row r="24" spans="1:16" x14ac:dyDescent="0.25">
      <c r="A24" s="406">
        <v>18464</v>
      </c>
      <c r="B24" s="407"/>
      <c r="C24" s="408" t="s">
        <v>113</v>
      </c>
      <c r="D24" s="409"/>
      <c r="E24" s="410">
        <v>72000</v>
      </c>
      <c r="F24" s="410">
        <v>90000</v>
      </c>
      <c r="G24" s="410">
        <v>39000</v>
      </c>
      <c r="H24" s="410">
        <v>198000</v>
      </c>
      <c r="I24" s="410">
        <f t="shared" si="0"/>
        <v>399000</v>
      </c>
      <c r="J24" s="411"/>
      <c r="K24" s="412">
        <v>44682</v>
      </c>
      <c r="L24" s="413">
        <v>44969</v>
      </c>
      <c r="M24" s="443" t="s">
        <v>186</v>
      </c>
    </row>
    <row r="25" spans="1:16" x14ac:dyDescent="0.25">
      <c r="A25" s="406">
        <v>20156</v>
      </c>
      <c r="B25" s="407">
        <v>7313</v>
      </c>
      <c r="C25" s="408" t="s">
        <v>113</v>
      </c>
      <c r="D25" s="409"/>
      <c r="E25" s="410">
        <v>147000</v>
      </c>
      <c r="F25" s="410">
        <v>262800</v>
      </c>
      <c r="G25" s="410">
        <v>206100</v>
      </c>
      <c r="H25" s="410">
        <v>578400</v>
      </c>
      <c r="I25" s="410">
        <f t="shared" si="0"/>
        <v>1194300</v>
      </c>
      <c r="J25" s="411"/>
      <c r="K25" s="412">
        <v>44853</v>
      </c>
      <c r="L25" s="412">
        <v>45077</v>
      </c>
      <c r="M25" s="443" t="s">
        <v>191</v>
      </c>
    </row>
    <row r="26" spans="1:16" x14ac:dyDescent="0.25">
      <c r="A26" s="406">
        <v>20040</v>
      </c>
      <c r="B26" s="407">
        <v>7341</v>
      </c>
      <c r="C26" s="408" t="s">
        <v>113</v>
      </c>
      <c r="D26" s="409">
        <v>1218750</v>
      </c>
      <c r="E26" s="410"/>
      <c r="F26" s="410"/>
      <c r="G26" s="410"/>
      <c r="H26" s="410"/>
      <c r="I26" s="410"/>
      <c r="J26" s="411"/>
      <c r="K26" s="412">
        <v>44853</v>
      </c>
      <c r="L26" s="412">
        <v>45047</v>
      </c>
      <c r="M26" s="443" t="s">
        <v>191</v>
      </c>
    </row>
    <row r="27" spans="1:16" ht="14.25" customHeight="1" x14ac:dyDescent="0.25">
      <c r="A27" s="406">
        <v>23273</v>
      </c>
      <c r="B27" s="912">
        <v>9747</v>
      </c>
      <c r="C27" s="408" t="s">
        <v>113</v>
      </c>
      <c r="D27" s="409"/>
      <c r="E27" s="410">
        <v>0</v>
      </c>
      <c r="F27" s="410">
        <v>120000</v>
      </c>
      <c r="G27" s="410">
        <v>108000</v>
      </c>
      <c r="H27" s="410">
        <v>522000</v>
      </c>
      <c r="I27" s="410">
        <f>SUM(E27:H27)</f>
        <v>750000</v>
      </c>
      <c r="J27" s="411"/>
      <c r="K27" s="412">
        <v>45253</v>
      </c>
      <c r="L27" s="412">
        <v>45473</v>
      </c>
      <c r="M27" s="913" t="s">
        <v>384</v>
      </c>
    </row>
    <row r="28" spans="1:16" ht="14.25" customHeight="1" x14ac:dyDescent="0.25">
      <c r="A28" s="406">
        <v>24360</v>
      </c>
      <c r="B28" s="912">
        <v>9017</v>
      </c>
      <c r="C28" s="408" t="s">
        <v>113</v>
      </c>
      <c r="D28" s="409">
        <v>750000</v>
      </c>
      <c r="E28" s="410">
        <v>0</v>
      </c>
      <c r="F28" s="410">
        <v>0</v>
      </c>
      <c r="G28" s="410">
        <v>0</v>
      </c>
      <c r="H28" s="410">
        <v>0</v>
      </c>
      <c r="I28" s="410">
        <v>0</v>
      </c>
      <c r="J28" s="411">
        <v>0</v>
      </c>
      <c r="K28" s="412">
        <v>45280</v>
      </c>
      <c r="L28" s="412">
        <v>45535</v>
      </c>
      <c r="M28" s="913" t="s">
        <v>385</v>
      </c>
    </row>
    <row r="29" spans="1:16" ht="14.25" customHeight="1" x14ac:dyDescent="0.25">
      <c r="A29" s="960">
        <v>24591</v>
      </c>
      <c r="B29" s="961">
        <v>9370</v>
      </c>
      <c r="C29" s="962" t="s">
        <v>113</v>
      </c>
      <c r="D29" s="963"/>
      <c r="E29" s="964">
        <v>33300</v>
      </c>
      <c r="F29" s="964">
        <v>45000</v>
      </c>
      <c r="G29" s="964">
        <v>39600</v>
      </c>
      <c r="H29" s="964">
        <v>99000</v>
      </c>
      <c r="I29" s="964">
        <f>SUM(E29:H29)</f>
        <v>216900</v>
      </c>
      <c r="J29" s="965"/>
      <c r="K29" s="966">
        <v>45391</v>
      </c>
      <c r="L29" s="966">
        <v>45565</v>
      </c>
      <c r="M29" s="967" t="s">
        <v>562</v>
      </c>
      <c r="O29" s="298">
        <f>E29+F29+G29+H29</f>
        <v>216900</v>
      </c>
      <c r="P29" s="298">
        <f>D28/25</f>
        <v>30000</v>
      </c>
    </row>
    <row r="30" spans="1:16" ht="14.25" customHeight="1" x14ac:dyDescent="0.25">
      <c r="A30" s="406">
        <v>25442</v>
      </c>
      <c r="B30" s="914">
        <v>9411</v>
      </c>
      <c r="C30" s="408" t="s">
        <v>113</v>
      </c>
      <c r="D30" s="409"/>
      <c r="E30" s="410">
        <v>30000</v>
      </c>
      <c r="F30" s="410">
        <v>171000</v>
      </c>
      <c r="G30" s="410">
        <v>33000</v>
      </c>
      <c r="H30" s="410">
        <v>282000</v>
      </c>
      <c r="I30" s="410">
        <f>SUM(E30:H30)</f>
        <v>516000</v>
      </c>
      <c r="J30" s="411"/>
      <c r="K30" s="412">
        <v>45398</v>
      </c>
      <c r="L30" s="412">
        <v>45565</v>
      </c>
      <c r="M30" s="913" t="s">
        <v>385</v>
      </c>
      <c r="O30" s="298">
        <f>O29/30</f>
        <v>7230</v>
      </c>
    </row>
    <row r="31" spans="1:16" ht="14.25" customHeight="1" x14ac:dyDescent="0.25">
      <c r="A31" s="406">
        <v>25441</v>
      </c>
      <c r="B31" s="914">
        <v>9540</v>
      </c>
      <c r="C31" s="408" t="s">
        <v>113</v>
      </c>
      <c r="D31" s="409">
        <v>425000</v>
      </c>
      <c r="E31" s="410">
        <v>0</v>
      </c>
      <c r="F31" s="410">
        <v>0</v>
      </c>
      <c r="G31" s="410">
        <v>0</v>
      </c>
      <c r="H31" s="410">
        <v>0</v>
      </c>
      <c r="I31" s="410">
        <f>SUM(E31:H31)</f>
        <v>0</v>
      </c>
      <c r="J31" s="411"/>
      <c r="K31" s="412">
        <v>45499</v>
      </c>
      <c r="L31" s="412">
        <v>45626</v>
      </c>
      <c r="M31" s="913" t="s">
        <v>561</v>
      </c>
    </row>
    <row r="32" spans="1:16" ht="14.25" customHeight="1" x14ac:dyDescent="0.25">
      <c r="A32" s="406"/>
      <c r="B32" s="914"/>
      <c r="C32" s="408"/>
      <c r="D32" s="409"/>
      <c r="E32" s="410">
        <v>102000</v>
      </c>
      <c r="F32" s="410">
        <v>330000</v>
      </c>
      <c r="G32" s="410">
        <v>120000</v>
      </c>
      <c r="H32" s="410">
        <v>381000</v>
      </c>
      <c r="I32" s="410">
        <f>SUM(E32:H32)</f>
        <v>933000</v>
      </c>
      <c r="J32" s="411"/>
      <c r="K32" s="412"/>
      <c r="L32" s="412">
        <v>45627</v>
      </c>
      <c r="M32" s="913" t="s">
        <v>558</v>
      </c>
      <c r="O32" s="298">
        <f>I27/30</f>
        <v>25000</v>
      </c>
    </row>
    <row r="33" spans="1:13" ht="15.75" thickBot="1" x14ac:dyDescent="0.3">
      <c r="A33" s="229"/>
      <c r="B33" s="261"/>
      <c r="C33" s="268" t="s">
        <v>18</v>
      </c>
      <c r="D33" s="840"/>
      <c r="E33" s="106">
        <v>0.32</v>
      </c>
      <c r="F33" s="106">
        <v>0.51</v>
      </c>
      <c r="G33" s="106">
        <v>0.7</v>
      </c>
      <c r="H33" s="44">
        <v>0.94</v>
      </c>
      <c r="I33" s="278"/>
      <c r="J33" s="275"/>
      <c r="K33" s="105"/>
      <c r="L33" s="45"/>
      <c r="M33" s="233"/>
    </row>
    <row r="34" spans="1:13" x14ac:dyDescent="0.25">
      <c r="B34" s="247"/>
      <c r="K34" s="839"/>
    </row>
    <row r="35" spans="1:13" ht="15.75" x14ac:dyDescent="0.25">
      <c r="B35" s="247" t="s">
        <v>560</v>
      </c>
      <c r="C35" s="941"/>
      <c r="D35" s="942" t="s">
        <v>118</v>
      </c>
      <c r="E35" s="943" t="s">
        <v>99</v>
      </c>
      <c r="F35" s="944"/>
      <c r="G35" s="944"/>
      <c r="H35" s="944"/>
      <c r="I35" s="943" t="s">
        <v>117</v>
      </c>
      <c r="J35" s="943" t="s">
        <v>33</v>
      </c>
      <c r="L35">
        <f>3600*30</f>
        <v>108000</v>
      </c>
      <c r="M35">
        <f>11000*30</f>
        <v>330000</v>
      </c>
    </row>
    <row r="36" spans="1:13" ht="15.75" x14ac:dyDescent="0.25">
      <c r="C36" s="945"/>
      <c r="D36" s="946">
        <f>D28/'ACT-RDT-PQ BY AMS'!T17</f>
        <v>2.25</v>
      </c>
      <c r="E36" s="1287">
        <f>(E27)+(F27*2)+(G27*3)+(H27*4)</f>
        <v>2652000</v>
      </c>
      <c r="F36" s="1288"/>
      <c r="G36" s="1288"/>
      <c r="H36" s="1289"/>
      <c r="I36" s="943">
        <f>E36/'ACT-RDT-PQ BY AMS'!AA17</f>
        <v>4.6800000000000006</v>
      </c>
      <c r="J36" s="947">
        <f>J23/'ACT-RDT-PQ BY AMS'!Z17</f>
        <v>0.6467065868263473</v>
      </c>
    </row>
    <row r="37" spans="1:13" ht="23.25" customHeight="1" x14ac:dyDescent="0.25">
      <c r="A37" s="262" t="s">
        <v>559</v>
      </c>
      <c r="B37" s="279"/>
      <c r="C37" s="945"/>
      <c r="D37" s="946">
        <f>D26/'ACT-RDT-PQ BY AMS'!T17</f>
        <v>3.65625</v>
      </c>
      <c r="E37" s="1287">
        <f>(E29)+(F29*2)+(G29*3)+(H29*4)</f>
        <v>638100</v>
      </c>
      <c r="F37" s="1288"/>
      <c r="G37" s="1288"/>
      <c r="H37" s="1289"/>
      <c r="I37" s="943">
        <f>E37/'ACT-RDT-PQ BY AMS'!AA17</f>
        <v>1.1260588235294118</v>
      </c>
      <c r="J37" s="943"/>
      <c r="M37" s="18">
        <f>333333*4</f>
        <v>1333332</v>
      </c>
    </row>
    <row r="38" spans="1:13" ht="15.75" x14ac:dyDescent="0.25">
      <c r="A38" s="1152">
        <f>D28+D31</f>
        <v>1175000</v>
      </c>
      <c r="C38" s="941"/>
      <c r="D38" s="948">
        <f>D20/'ACT-RDT-PQ BY AMS'!T17</f>
        <v>2.7</v>
      </c>
      <c r="E38" s="1282">
        <f>E30+(F30*2)+(G30*3)+(H30*4)</f>
        <v>1599000</v>
      </c>
      <c r="F38" s="1283"/>
      <c r="G38" s="1283"/>
      <c r="H38" s="1284"/>
      <c r="I38" s="943">
        <f>E38/'ACT-RDT-PQ BY AMS'!AA17</f>
        <v>2.821764705882353</v>
      </c>
      <c r="J38" s="949"/>
      <c r="M38" s="18">
        <f>M37/25</f>
        <v>53333.279999999999</v>
      </c>
    </row>
    <row r="39" spans="1:13" ht="15.75" x14ac:dyDescent="0.25">
      <c r="A39" s="1152">
        <f>A38/25</f>
        <v>47000</v>
      </c>
      <c r="B39" s="1153">
        <f>A39*9</f>
        <v>423000</v>
      </c>
      <c r="C39" s="941"/>
      <c r="D39" s="950">
        <f>D25/'ACT-RDT-PQ BY AMS'!T17</f>
        <v>0</v>
      </c>
      <c r="E39" s="1279">
        <f>E32+(F32*2)+(G32*3)+(H32*4)</f>
        <v>2646000</v>
      </c>
      <c r="F39" s="1280"/>
      <c r="G39" s="1280"/>
      <c r="H39" s="1281"/>
      <c r="I39" s="947">
        <f>E39/'ACT-RDT-PQ BY AMS'!AA17</f>
        <v>4.6694117647058828</v>
      </c>
      <c r="J39" s="949"/>
      <c r="M39" s="18">
        <v>54000</v>
      </c>
    </row>
    <row r="40" spans="1:13" ht="15.75" x14ac:dyDescent="0.25">
      <c r="C40" s="941"/>
      <c r="D40" s="968">
        <f>D31/333333</f>
        <v>1.2750012750012749</v>
      </c>
      <c r="E40" s="8"/>
      <c r="F40" s="8"/>
      <c r="G40" s="951" t="s">
        <v>292</v>
      </c>
      <c r="H40" s="951"/>
      <c r="I40" s="952">
        <f>SUM(I36:I39)</f>
        <v>13.297235294117648</v>
      </c>
      <c r="J40" s="953"/>
      <c r="M40" s="298">
        <f>M39*25</f>
        <v>1350000</v>
      </c>
    </row>
    <row r="41" spans="1:13" ht="15.75" x14ac:dyDescent="0.25">
      <c r="C41" s="1154">
        <f>D28/25</f>
        <v>30000</v>
      </c>
      <c r="D41" s="8"/>
      <c r="E41" s="8"/>
      <c r="F41" s="8"/>
      <c r="G41" s="8"/>
      <c r="H41" s="951"/>
      <c r="I41" s="952"/>
      <c r="J41" s="949"/>
    </row>
    <row r="42" spans="1:13" x14ac:dyDescent="0.25">
      <c r="C42" s="1152">
        <f>D31/25</f>
        <v>17000</v>
      </c>
      <c r="J42" s="401"/>
    </row>
    <row r="43" spans="1:13" x14ac:dyDescent="0.25">
      <c r="C43" s="1152">
        <f>SUM(C41:C42)</f>
        <v>47000</v>
      </c>
    </row>
  </sheetData>
  <mergeCells count="16">
    <mergeCell ref="E39:H39"/>
    <mergeCell ref="E38:H38"/>
    <mergeCell ref="A5:A6"/>
    <mergeCell ref="E36:H36"/>
    <mergeCell ref="E37:H37"/>
    <mergeCell ref="M5:M6"/>
    <mergeCell ref="B2:M2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56" type="noConversion"/>
  <conditionalFormatting sqref="E33:G33">
    <cfRule type="expression" dxfId="0" priority="1">
      <formula>ISERROR(E33)</formula>
    </cfRule>
  </conditionalFormatting>
  <dataValidations count="1">
    <dataValidation type="decimal" operator="greaterThan" allowBlank="1" showInputMessage="1" showErrorMessage="1" sqref="E33:G33">
      <formula1>-1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20"/>
  <sheetViews>
    <sheetView zoomScale="93" zoomScaleNormal="98" zoomScaleSheetLayoutView="172" workbookViewId="0">
      <selection activeCell="U137" sqref="U137"/>
    </sheetView>
  </sheetViews>
  <sheetFormatPr defaultColWidth="9.140625" defaultRowHeight="15" x14ac:dyDescent="0.25"/>
  <cols>
    <col min="1" max="1" width="10.28515625" style="262" customWidth="1"/>
    <col min="2" max="2" width="12.140625" style="244" customWidth="1"/>
    <col min="3" max="3" width="16.7109375" style="428" bestFit="1" customWidth="1"/>
    <col min="4" max="4" width="10.5703125" style="428" customWidth="1"/>
    <col min="5" max="5" width="10.85546875" style="298" customWidth="1"/>
    <col min="6" max="6" width="9.42578125" style="831" customWidth="1"/>
    <col min="7" max="7" width="10.28515625" customWidth="1"/>
    <col min="8" max="8" width="9.42578125" customWidth="1"/>
    <col min="9" max="9" width="11.5703125" style="245" customWidth="1"/>
    <col min="10" max="10" width="11.28515625" style="295" customWidth="1"/>
    <col min="11" max="11" width="11.85546875" style="124" customWidth="1"/>
    <col min="12" max="13" width="11.140625" style="299" customWidth="1"/>
    <col min="14" max="14" width="11.28515625" style="299" customWidth="1"/>
    <col min="15" max="15" width="10.7109375" style="299" customWidth="1"/>
    <col min="16" max="16" width="16.5703125" style="299" bestFit="1" customWidth="1"/>
    <col min="17" max="17" width="11.140625" style="299" customWidth="1"/>
    <col min="18" max="18" width="11.5703125" style="299" customWidth="1"/>
    <col min="19" max="19" width="9.85546875" style="299" customWidth="1"/>
    <col min="20" max="20" width="8.5703125" style="299" customWidth="1"/>
    <col min="21" max="21" width="2.140625" style="124" customWidth="1"/>
    <col min="22" max="22" width="10.85546875" style="298" customWidth="1"/>
    <col min="23" max="23" width="8.85546875" customWidth="1"/>
    <col min="24" max="24" width="9" customWidth="1"/>
    <col min="25" max="25" width="8.7109375" customWidth="1"/>
    <col min="26" max="26" width="12.140625" style="245" customWidth="1"/>
    <col min="27" max="27" width="10.85546875" style="295" customWidth="1"/>
    <col min="28" max="28" width="11.85546875" style="124" customWidth="1"/>
    <col min="29" max="29" width="10.85546875" style="299" customWidth="1"/>
    <col min="30" max="30" width="11.140625" style="299" customWidth="1"/>
    <col min="31" max="31" width="11.28515625" style="299" customWidth="1"/>
    <col min="32" max="32" width="11" style="299" customWidth="1"/>
    <col min="33" max="33" width="10" style="299" customWidth="1"/>
    <col min="34" max="34" width="10.140625" style="299" customWidth="1"/>
    <col min="35" max="35" width="11.42578125" style="299" customWidth="1"/>
    <col min="36" max="36" width="10.85546875" style="299" customWidth="1"/>
    <col min="37" max="37" width="8.5703125" style="299" customWidth="1"/>
    <col min="38" max="38" width="10" customWidth="1"/>
    <col min="39" max="39" width="12.5703125" style="124" customWidth="1"/>
    <col min="40" max="40" width="102.42578125" bestFit="1" customWidth="1"/>
    <col min="41" max="41" width="11.28515625" customWidth="1"/>
    <col min="45" max="45" width="36.7109375" customWidth="1"/>
  </cols>
  <sheetData>
    <row r="1" spans="1:40" ht="21.75" thickBot="1" x14ac:dyDescent="0.4">
      <c r="A1" s="307"/>
      <c r="B1" s="307"/>
      <c r="C1" s="415"/>
      <c r="D1" s="415"/>
      <c r="E1" s="789"/>
      <c r="F1" s="790"/>
      <c r="G1" s="790"/>
      <c r="H1" s="790"/>
      <c r="I1" s="790"/>
      <c r="J1" s="903"/>
      <c r="K1" s="790"/>
      <c r="L1" s="790"/>
      <c r="M1" s="790"/>
      <c r="N1" s="790"/>
      <c r="O1" s="790"/>
      <c r="P1" s="790"/>
      <c r="Q1" s="790"/>
      <c r="R1" s="790"/>
      <c r="S1" s="790"/>
      <c r="T1" s="790"/>
      <c r="U1" s="296"/>
      <c r="V1" s="1328" t="s">
        <v>149</v>
      </c>
      <c r="W1" s="1329"/>
      <c r="X1" s="1329"/>
      <c r="Y1" s="1329"/>
      <c r="Z1" s="1329"/>
      <c r="AA1" s="1329"/>
      <c r="AB1" s="1329"/>
      <c r="AC1" s="1329"/>
      <c r="AD1" s="1329"/>
      <c r="AE1" s="1329"/>
      <c r="AF1" s="1329"/>
      <c r="AG1" s="1329"/>
      <c r="AH1" s="1329"/>
      <c r="AI1" s="1329"/>
      <c r="AJ1" s="1329"/>
      <c r="AK1" s="1329"/>
      <c r="AL1" s="629"/>
      <c r="AM1" s="630"/>
      <c r="AN1" s="629"/>
    </row>
    <row r="2" spans="1:40" ht="21.75" customHeight="1" thickBot="1" x14ac:dyDescent="0.4">
      <c r="A2" s="308"/>
      <c r="B2" s="309"/>
      <c r="C2" s="416"/>
      <c r="D2" s="416"/>
      <c r="E2" s="1320" t="s">
        <v>85</v>
      </c>
      <c r="F2" s="1321"/>
      <c r="G2" s="1321"/>
      <c r="H2" s="1321"/>
      <c r="I2" s="1321"/>
      <c r="J2" s="1321"/>
      <c r="K2" s="1322"/>
      <c r="L2" s="1290" t="s">
        <v>139</v>
      </c>
      <c r="M2" s="1291"/>
      <c r="N2" s="1291"/>
      <c r="O2" s="1291"/>
      <c r="P2" s="1291"/>
      <c r="Q2" s="1291"/>
      <c r="R2" s="1291"/>
      <c r="S2" s="1291"/>
      <c r="T2" s="1291"/>
      <c r="U2" s="296"/>
      <c r="V2" s="1338" t="s">
        <v>85</v>
      </c>
      <c r="W2" s="1339"/>
      <c r="X2" s="1339"/>
      <c r="Y2" s="1339"/>
      <c r="Z2" s="1339"/>
      <c r="AA2" s="1339"/>
      <c r="AB2" s="1340"/>
      <c r="AC2" s="1298" t="s">
        <v>139</v>
      </c>
      <c r="AD2" s="1299"/>
      <c r="AE2" s="1299"/>
      <c r="AF2" s="1299"/>
      <c r="AG2" s="1299"/>
      <c r="AH2" s="1299"/>
      <c r="AI2" s="1299"/>
      <c r="AJ2" s="1299"/>
      <c r="AK2" s="1299"/>
      <c r="AL2" s="621"/>
      <c r="AM2" s="622"/>
      <c r="AN2" s="621"/>
    </row>
    <row r="3" spans="1:40" ht="15" customHeight="1" thickBot="1" x14ac:dyDescent="0.4">
      <c r="A3" s="310"/>
      <c r="B3" s="311"/>
      <c r="C3" s="417"/>
      <c r="D3" s="417"/>
      <c r="E3" s="1323"/>
      <c r="F3" s="1324"/>
      <c r="G3" s="1324"/>
      <c r="H3" s="1324"/>
      <c r="I3" s="1324"/>
      <c r="J3" s="1324"/>
      <c r="K3" s="1325"/>
      <c r="L3" s="1292"/>
      <c r="M3" s="1293"/>
      <c r="N3" s="1293"/>
      <c r="O3" s="1293"/>
      <c r="P3" s="1293"/>
      <c r="Q3" s="1293"/>
      <c r="R3" s="1293"/>
      <c r="S3" s="1293"/>
      <c r="T3" s="1293"/>
      <c r="U3" s="296"/>
      <c r="V3" s="1341"/>
      <c r="W3" s="1342"/>
      <c r="X3" s="1342"/>
      <c r="Y3" s="1342"/>
      <c r="Z3" s="1342"/>
      <c r="AA3" s="1342"/>
      <c r="AB3" s="1343"/>
      <c r="AC3" s="1300"/>
      <c r="AD3" s="1301"/>
      <c r="AE3" s="1301"/>
      <c r="AF3" s="1301"/>
      <c r="AG3" s="1301"/>
      <c r="AH3" s="1301"/>
      <c r="AI3" s="1301"/>
      <c r="AJ3" s="1301"/>
      <c r="AK3" s="1301"/>
      <c r="AL3" s="623"/>
      <c r="AM3" s="624"/>
      <c r="AN3" s="621"/>
    </row>
    <row r="4" spans="1:40" s="30" customFormat="1" ht="12.75" customHeight="1" thickBot="1" x14ac:dyDescent="0.4">
      <c r="A4" s="1285" t="s">
        <v>1</v>
      </c>
      <c r="B4" s="1326" t="s">
        <v>110</v>
      </c>
      <c r="C4" s="418" t="s">
        <v>95</v>
      </c>
      <c r="D4" s="419" t="s">
        <v>97</v>
      </c>
      <c r="E4" s="1344" t="s">
        <v>30</v>
      </c>
      <c r="F4" s="1346" t="s">
        <v>125</v>
      </c>
      <c r="G4" s="1348" t="s">
        <v>91</v>
      </c>
      <c r="H4" s="1348" t="s">
        <v>92</v>
      </c>
      <c r="I4" s="1348" t="s">
        <v>93</v>
      </c>
      <c r="J4" s="1312" t="s">
        <v>94</v>
      </c>
      <c r="K4" s="1316" t="s">
        <v>46</v>
      </c>
      <c r="L4" s="1314" t="s">
        <v>132</v>
      </c>
      <c r="M4" s="1294" t="s">
        <v>128</v>
      </c>
      <c r="N4" s="1294" t="s">
        <v>127</v>
      </c>
      <c r="O4" s="1294" t="s">
        <v>126</v>
      </c>
      <c r="P4" s="1294" t="s">
        <v>129</v>
      </c>
      <c r="Q4" s="1294" t="s">
        <v>130</v>
      </c>
      <c r="R4" s="1294" t="s">
        <v>137</v>
      </c>
      <c r="S4" s="1294" t="s">
        <v>138</v>
      </c>
      <c r="T4" s="1318" t="s">
        <v>131</v>
      </c>
      <c r="U4" s="296"/>
      <c r="V4" s="1336" t="s">
        <v>30</v>
      </c>
      <c r="W4" s="1334" t="s">
        <v>125</v>
      </c>
      <c r="X4" s="1308" t="s">
        <v>91</v>
      </c>
      <c r="Y4" s="1308" t="s">
        <v>92</v>
      </c>
      <c r="Z4" s="1308" t="s">
        <v>93</v>
      </c>
      <c r="AA4" s="1330" t="s">
        <v>94</v>
      </c>
      <c r="AB4" s="1332" t="s">
        <v>46</v>
      </c>
      <c r="AC4" s="1306" t="s">
        <v>132</v>
      </c>
      <c r="AD4" s="1302" t="s">
        <v>128</v>
      </c>
      <c r="AE4" s="1302" t="s">
        <v>127</v>
      </c>
      <c r="AF4" s="1302" t="s">
        <v>126</v>
      </c>
      <c r="AG4" s="1302" t="s">
        <v>129</v>
      </c>
      <c r="AH4" s="1302" t="s">
        <v>130</v>
      </c>
      <c r="AI4" s="1302" t="s">
        <v>137</v>
      </c>
      <c r="AJ4" s="1302" t="s">
        <v>138</v>
      </c>
      <c r="AK4" s="1310" t="s">
        <v>131</v>
      </c>
      <c r="AL4" s="625" t="s">
        <v>133</v>
      </c>
      <c r="AM4" s="626" t="s">
        <v>133</v>
      </c>
      <c r="AN4" s="1304" t="s">
        <v>111</v>
      </c>
    </row>
    <row r="5" spans="1:40" s="30" customFormat="1" ht="35.25" customHeight="1" thickBot="1" x14ac:dyDescent="0.4">
      <c r="A5" s="1286"/>
      <c r="B5" s="1327"/>
      <c r="C5" s="420" t="s">
        <v>96</v>
      </c>
      <c r="D5" s="421" t="s">
        <v>95</v>
      </c>
      <c r="E5" s="1345"/>
      <c r="F5" s="1347"/>
      <c r="G5" s="1349"/>
      <c r="H5" s="1349"/>
      <c r="I5" s="1349"/>
      <c r="J5" s="1313"/>
      <c r="K5" s="1317"/>
      <c r="L5" s="1315"/>
      <c r="M5" s="1295"/>
      <c r="N5" s="1295"/>
      <c r="O5" s="1295"/>
      <c r="P5" s="1295"/>
      <c r="Q5" s="1295"/>
      <c r="R5" s="1295"/>
      <c r="S5" s="1295"/>
      <c r="T5" s="1319"/>
      <c r="U5" s="296"/>
      <c r="V5" s="1337"/>
      <c r="W5" s="1335"/>
      <c r="X5" s="1309"/>
      <c r="Y5" s="1309"/>
      <c r="Z5" s="1309"/>
      <c r="AA5" s="1331"/>
      <c r="AB5" s="1333"/>
      <c r="AC5" s="1307"/>
      <c r="AD5" s="1303"/>
      <c r="AE5" s="1303"/>
      <c r="AF5" s="1303"/>
      <c r="AG5" s="1303"/>
      <c r="AH5" s="1303"/>
      <c r="AI5" s="1303"/>
      <c r="AJ5" s="1303"/>
      <c r="AK5" s="1311"/>
      <c r="AL5" s="627" t="s">
        <v>134</v>
      </c>
      <c r="AM5" s="628" t="s">
        <v>135</v>
      </c>
      <c r="AN5" s="1305"/>
    </row>
    <row r="6" spans="1:40" s="30" customFormat="1" ht="21.75" thickBot="1" x14ac:dyDescent="0.4">
      <c r="A6" s="695" t="s">
        <v>25</v>
      </c>
      <c r="B6" s="696">
        <v>1520</v>
      </c>
      <c r="C6" s="697">
        <v>44287</v>
      </c>
      <c r="D6" s="698">
        <v>44348</v>
      </c>
      <c r="E6" s="699"/>
      <c r="F6" s="815">
        <v>0</v>
      </c>
      <c r="G6" s="700">
        <v>0</v>
      </c>
      <c r="H6" s="700">
        <v>0</v>
      </c>
      <c r="I6" s="700">
        <v>0</v>
      </c>
      <c r="J6" s="673">
        <f t="shared" ref="J6:J16" si="0">SUM(F6:I6)</f>
        <v>0</v>
      </c>
      <c r="K6" s="701">
        <v>0</v>
      </c>
      <c r="L6" s="702">
        <v>0</v>
      </c>
      <c r="M6" s="702">
        <v>0</v>
      </c>
      <c r="N6" s="702">
        <f>AE6-AL6</f>
        <v>0</v>
      </c>
      <c r="O6" s="702">
        <v>0</v>
      </c>
      <c r="P6" s="702">
        <v>0</v>
      </c>
      <c r="Q6" s="702">
        <v>0</v>
      </c>
      <c r="R6" s="702"/>
      <c r="S6" s="702"/>
      <c r="T6" s="702">
        <v>0</v>
      </c>
      <c r="U6" s="855"/>
      <c r="V6" s="699">
        <v>0</v>
      </c>
      <c r="W6" s="700">
        <v>0</v>
      </c>
      <c r="X6" s="700">
        <v>0</v>
      </c>
      <c r="Y6" s="700">
        <v>0</v>
      </c>
      <c r="Z6" s="700">
        <v>0</v>
      </c>
      <c r="AA6" s="673">
        <f>SUM(W6:Z6)</f>
        <v>0</v>
      </c>
      <c r="AB6" s="701">
        <v>0</v>
      </c>
      <c r="AC6" s="702">
        <v>0</v>
      </c>
      <c r="AD6" s="702">
        <v>0</v>
      </c>
      <c r="AE6" s="702">
        <v>30000</v>
      </c>
      <c r="AF6" s="702">
        <v>0</v>
      </c>
      <c r="AG6" s="702">
        <v>0</v>
      </c>
      <c r="AH6" s="702">
        <v>0</v>
      </c>
      <c r="AI6" s="702"/>
      <c r="AJ6" s="702"/>
      <c r="AK6" s="702">
        <v>0</v>
      </c>
      <c r="AL6" s="703">
        <f>15000+15000</f>
        <v>30000</v>
      </c>
      <c r="AM6" s="677">
        <f t="shared" ref="AM6:AM24" si="1">(V6+W6+X6+Y6+Z6+AB6+AC6+AD6+AE6+AF6+AG6+AH6+AI6+AJ6+AK6)-AL6</f>
        <v>0</v>
      </c>
      <c r="AN6" s="704" t="s">
        <v>225</v>
      </c>
    </row>
    <row r="7" spans="1:40" s="30" customFormat="1" ht="21.75" thickBot="1" x14ac:dyDescent="0.4">
      <c r="A7" s="868" t="s">
        <v>25</v>
      </c>
      <c r="B7" s="864">
        <v>1720</v>
      </c>
      <c r="C7" s="865" t="s">
        <v>151</v>
      </c>
      <c r="D7" s="867" t="s">
        <v>152</v>
      </c>
      <c r="E7" s="671"/>
      <c r="F7" s="816">
        <v>0</v>
      </c>
      <c r="G7" s="672">
        <v>0</v>
      </c>
      <c r="H7" s="672">
        <v>0</v>
      </c>
      <c r="I7" s="672">
        <v>0</v>
      </c>
      <c r="J7" s="673">
        <f t="shared" si="0"/>
        <v>0</v>
      </c>
      <c r="K7" s="674">
        <v>0</v>
      </c>
      <c r="L7" s="662">
        <v>0</v>
      </c>
      <c r="M7" s="662">
        <v>0</v>
      </c>
      <c r="N7" s="662">
        <v>0</v>
      </c>
      <c r="O7" s="662">
        <f>AF7-AL7</f>
        <v>0</v>
      </c>
      <c r="P7" s="662">
        <v>0</v>
      </c>
      <c r="Q7" s="662">
        <v>0</v>
      </c>
      <c r="R7" s="662">
        <v>0</v>
      </c>
      <c r="S7" s="662">
        <v>0</v>
      </c>
      <c r="T7" s="662">
        <v>0</v>
      </c>
      <c r="U7" s="855"/>
      <c r="V7" s="671">
        <v>0</v>
      </c>
      <c r="W7" s="672">
        <v>0</v>
      </c>
      <c r="X7" s="672">
        <v>0</v>
      </c>
      <c r="Y7" s="672">
        <v>0</v>
      </c>
      <c r="Z7" s="680">
        <v>0</v>
      </c>
      <c r="AA7" s="673">
        <f>SUM(W7:Z7)</f>
        <v>0</v>
      </c>
      <c r="AB7" s="674">
        <v>0</v>
      </c>
      <c r="AC7" s="662">
        <v>0</v>
      </c>
      <c r="AD7" s="662">
        <v>0</v>
      </c>
      <c r="AE7" s="662">
        <v>0</v>
      </c>
      <c r="AF7" s="662">
        <v>4470</v>
      </c>
      <c r="AG7" s="662">
        <v>0</v>
      </c>
      <c r="AH7" s="662">
        <v>0</v>
      </c>
      <c r="AI7" s="662">
        <v>0</v>
      </c>
      <c r="AJ7" s="662">
        <v>0</v>
      </c>
      <c r="AK7" s="662">
        <v>0</v>
      </c>
      <c r="AL7" s="681">
        <v>4470</v>
      </c>
      <c r="AM7" s="677">
        <f t="shared" si="1"/>
        <v>0</v>
      </c>
      <c r="AN7" s="870" t="s">
        <v>358</v>
      </c>
    </row>
    <row r="8" spans="1:40" s="382" customFormat="1" ht="21.75" thickBot="1" x14ac:dyDescent="0.4">
      <c r="A8" s="667" t="s">
        <v>25</v>
      </c>
      <c r="B8" s="668">
        <v>1720</v>
      </c>
      <c r="C8" s="669" t="s">
        <v>151</v>
      </c>
      <c r="D8" s="679" t="s">
        <v>152</v>
      </c>
      <c r="E8" s="671"/>
      <c r="F8" s="816">
        <v>0</v>
      </c>
      <c r="G8" s="672">
        <v>0</v>
      </c>
      <c r="H8" s="672">
        <v>0</v>
      </c>
      <c r="I8" s="672">
        <v>0</v>
      </c>
      <c r="J8" s="673">
        <f t="shared" si="0"/>
        <v>0</v>
      </c>
      <c r="K8" s="674">
        <f>AB8-AL8</f>
        <v>0</v>
      </c>
      <c r="L8" s="661">
        <v>0</v>
      </c>
      <c r="M8" s="661">
        <v>0</v>
      </c>
      <c r="N8" s="661">
        <v>0</v>
      </c>
      <c r="O8" s="661">
        <v>0</v>
      </c>
      <c r="P8" s="661">
        <v>0</v>
      </c>
      <c r="Q8" s="661">
        <v>0</v>
      </c>
      <c r="R8" s="661">
        <v>0</v>
      </c>
      <c r="S8" s="661">
        <v>0</v>
      </c>
      <c r="T8" s="661">
        <v>0</v>
      </c>
      <c r="U8" s="855"/>
      <c r="V8" s="671">
        <v>0</v>
      </c>
      <c r="W8" s="672">
        <v>0</v>
      </c>
      <c r="X8" s="672">
        <v>0</v>
      </c>
      <c r="Y8" s="672">
        <v>0</v>
      </c>
      <c r="Z8" s="680">
        <v>0</v>
      </c>
      <c r="AA8" s="673">
        <f>SUM(W8:Z8)</f>
        <v>0</v>
      </c>
      <c r="AB8" s="674">
        <v>619500</v>
      </c>
      <c r="AC8" s="661">
        <v>0</v>
      </c>
      <c r="AD8" s="661">
        <v>0</v>
      </c>
      <c r="AE8" s="661">
        <v>0</v>
      </c>
      <c r="AF8" s="661">
        <v>0</v>
      </c>
      <c r="AG8" s="661">
        <v>0</v>
      </c>
      <c r="AH8" s="661">
        <v>0</v>
      </c>
      <c r="AI8" s="661">
        <v>0</v>
      </c>
      <c r="AJ8" s="661">
        <v>0</v>
      </c>
      <c r="AK8" s="661">
        <v>0</v>
      </c>
      <c r="AL8" s="681">
        <f>80800+538700</f>
        <v>619500</v>
      </c>
      <c r="AM8" s="677">
        <f t="shared" si="1"/>
        <v>0</v>
      </c>
      <c r="AN8" s="684" t="s">
        <v>236</v>
      </c>
    </row>
    <row r="9" spans="1:40" s="350" customFormat="1" ht="21.75" thickBot="1" x14ac:dyDescent="0.4">
      <c r="A9" s="667" t="s">
        <v>25</v>
      </c>
      <c r="B9" s="668">
        <v>1810</v>
      </c>
      <c r="C9" s="669" t="s">
        <v>161</v>
      </c>
      <c r="D9" s="679" t="s">
        <v>162</v>
      </c>
      <c r="E9" s="671"/>
      <c r="F9" s="816">
        <v>0</v>
      </c>
      <c r="G9" s="672">
        <v>0</v>
      </c>
      <c r="H9" s="672">
        <v>0</v>
      </c>
      <c r="I9" s="672">
        <v>0</v>
      </c>
      <c r="J9" s="673">
        <f t="shared" si="0"/>
        <v>0</v>
      </c>
      <c r="K9" s="674">
        <v>0</v>
      </c>
      <c r="L9" s="661">
        <v>0</v>
      </c>
      <c r="M9" s="661">
        <v>0</v>
      </c>
      <c r="N9" s="661">
        <v>0</v>
      </c>
      <c r="O9" s="661">
        <f>AF9-AL9</f>
        <v>0</v>
      </c>
      <c r="P9" s="661"/>
      <c r="Q9" s="661"/>
      <c r="R9" s="661"/>
      <c r="S9" s="661"/>
      <c r="T9" s="661"/>
      <c r="U9" s="855"/>
      <c r="V9" s="671"/>
      <c r="W9" s="672"/>
      <c r="X9" s="672"/>
      <c r="Y9" s="672"/>
      <c r="Z9" s="680"/>
      <c r="AA9" s="673"/>
      <c r="AB9" s="674"/>
      <c r="AC9" s="661"/>
      <c r="AD9" s="661"/>
      <c r="AE9" s="661"/>
      <c r="AF9" s="661">
        <v>7450</v>
      </c>
      <c r="AG9" s="661"/>
      <c r="AH9" s="661"/>
      <c r="AI9" s="661"/>
      <c r="AJ9" s="661"/>
      <c r="AK9" s="661"/>
      <c r="AL9" s="681">
        <v>7450</v>
      </c>
      <c r="AM9" s="677">
        <f t="shared" si="1"/>
        <v>0</v>
      </c>
      <c r="AN9" s="684" t="s">
        <v>294</v>
      </c>
    </row>
    <row r="10" spans="1:40" s="381" customFormat="1" ht="21.75" thickBot="1" x14ac:dyDescent="0.4">
      <c r="A10" s="863" t="s">
        <v>25</v>
      </c>
      <c r="B10" s="864">
        <v>1811</v>
      </c>
      <c r="C10" s="865" t="s">
        <v>161</v>
      </c>
      <c r="D10" s="867" t="s">
        <v>162</v>
      </c>
      <c r="E10" s="671"/>
      <c r="F10" s="816">
        <v>0</v>
      </c>
      <c r="G10" s="672">
        <v>0</v>
      </c>
      <c r="H10" s="672">
        <v>0</v>
      </c>
      <c r="I10" s="672">
        <v>0</v>
      </c>
      <c r="J10" s="673">
        <f t="shared" si="0"/>
        <v>0</v>
      </c>
      <c r="K10" s="674"/>
      <c r="L10" s="661"/>
      <c r="M10" s="661"/>
      <c r="N10" s="661"/>
      <c r="O10" s="661"/>
      <c r="P10" s="661"/>
      <c r="Q10" s="661"/>
      <c r="R10" s="661"/>
      <c r="S10" s="661"/>
      <c r="T10" s="661">
        <f>AK10-AL10</f>
        <v>0</v>
      </c>
      <c r="U10" s="855"/>
      <c r="V10" s="671"/>
      <c r="W10" s="672"/>
      <c r="X10" s="672"/>
      <c r="Y10" s="672"/>
      <c r="Z10" s="680"/>
      <c r="AA10" s="673">
        <f t="shared" ref="AA10:AA15" si="2">SUM(W10:Z10)</f>
        <v>0</v>
      </c>
      <c r="AB10" s="674"/>
      <c r="AC10" s="661"/>
      <c r="AD10" s="661"/>
      <c r="AE10" s="661"/>
      <c r="AF10" s="661"/>
      <c r="AG10" s="661"/>
      <c r="AH10" s="661"/>
      <c r="AI10" s="661"/>
      <c r="AJ10" s="661"/>
      <c r="AK10" s="661">
        <v>16200</v>
      </c>
      <c r="AL10" s="681">
        <v>16200</v>
      </c>
      <c r="AM10" s="677">
        <f t="shared" si="1"/>
        <v>0</v>
      </c>
      <c r="AN10" s="1040" t="s">
        <v>472</v>
      </c>
    </row>
    <row r="11" spans="1:40" s="381" customFormat="1" ht="21.75" thickBot="1" x14ac:dyDescent="0.4">
      <c r="A11" s="863" t="s">
        <v>25</v>
      </c>
      <c r="B11" s="864">
        <v>1811</v>
      </c>
      <c r="C11" s="865" t="s">
        <v>161</v>
      </c>
      <c r="D11" s="867" t="s">
        <v>162</v>
      </c>
      <c r="E11" s="671"/>
      <c r="F11" s="816">
        <v>0</v>
      </c>
      <c r="G11" s="672">
        <v>0</v>
      </c>
      <c r="H11" s="672">
        <v>0</v>
      </c>
      <c r="I11" s="672">
        <v>0</v>
      </c>
      <c r="J11" s="673">
        <f t="shared" si="0"/>
        <v>0</v>
      </c>
      <c r="K11" s="674">
        <v>0</v>
      </c>
      <c r="L11" s="661"/>
      <c r="M11" s="661"/>
      <c r="N11" s="661"/>
      <c r="O11" s="661"/>
      <c r="P11" s="661"/>
      <c r="Q11" s="661"/>
      <c r="R11" s="661"/>
      <c r="S11" s="661"/>
      <c r="T11" s="661">
        <f>AK11-AL11</f>
        <v>0</v>
      </c>
      <c r="U11" s="855"/>
      <c r="V11" s="671"/>
      <c r="W11" s="672"/>
      <c r="X11" s="672"/>
      <c r="Y11" s="672"/>
      <c r="Z11" s="680"/>
      <c r="AA11" s="673">
        <f t="shared" si="2"/>
        <v>0</v>
      </c>
      <c r="AB11" s="674"/>
      <c r="AC11" s="661"/>
      <c r="AD11" s="661"/>
      <c r="AE11" s="661"/>
      <c r="AF11" s="661"/>
      <c r="AG11" s="661"/>
      <c r="AH11" s="661"/>
      <c r="AI11" s="661"/>
      <c r="AJ11" s="661"/>
      <c r="AK11" s="661">
        <v>6084</v>
      </c>
      <c r="AL11" s="681">
        <f>4224+1860</f>
        <v>6084</v>
      </c>
      <c r="AM11" s="1039">
        <f t="shared" si="1"/>
        <v>0</v>
      </c>
      <c r="AN11" s="870" t="s">
        <v>473</v>
      </c>
    </row>
    <row r="12" spans="1:40" s="30" customFormat="1" ht="21.75" thickBot="1" x14ac:dyDescent="0.4">
      <c r="A12" s="863" t="s">
        <v>25</v>
      </c>
      <c r="B12" s="864">
        <v>1811</v>
      </c>
      <c r="C12" s="865" t="s">
        <v>161</v>
      </c>
      <c r="D12" s="867" t="s">
        <v>162</v>
      </c>
      <c r="E12" s="671"/>
      <c r="F12" s="816">
        <v>0</v>
      </c>
      <c r="G12" s="672">
        <v>0</v>
      </c>
      <c r="H12" s="672">
        <v>0</v>
      </c>
      <c r="I12" s="672">
        <v>0</v>
      </c>
      <c r="J12" s="673">
        <f t="shared" si="0"/>
        <v>0</v>
      </c>
      <c r="K12" s="674"/>
      <c r="L12" s="661"/>
      <c r="M12" s="661"/>
      <c r="N12" s="661"/>
      <c r="O12" s="661"/>
      <c r="P12" s="661"/>
      <c r="Q12" s="661">
        <f>AH12-AL12</f>
        <v>0</v>
      </c>
      <c r="R12" s="661"/>
      <c r="S12" s="661"/>
      <c r="T12" s="661"/>
      <c r="U12" s="855"/>
      <c r="V12" s="671"/>
      <c r="W12" s="672"/>
      <c r="X12" s="672"/>
      <c r="Y12" s="672"/>
      <c r="Z12" s="680"/>
      <c r="AA12" s="673">
        <f t="shared" si="2"/>
        <v>0</v>
      </c>
      <c r="AB12" s="674"/>
      <c r="AC12" s="661"/>
      <c r="AD12" s="661"/>
      <c r="AE12" s="661"/>
      <c r="AF12" s="661"/>
      <c r="AG12" s="661"/>
      <c r="AH12" s="661">
        <v>96400</v>
      </c>
      <c r="AI12" s="661"/>
      <c r="AJ12" s="661"/>
      <c r="AK12" s="661"/>
      <c r="AL12" s="681">
        <f>96300+100</f>
        <v>96400</v>
      </c>
      <c r="AM12" s="677">
        <f t="shared" si="1"/>
        <v>0</v>
      </c>
      <c r="AN12" s="870" t="s">
        <v>474</v>
      </c>
    </row>
    <row r="13" spans="1:40" s="30" customFormat="1" ht="21.75" thickBot="1" x14ac:dyDescent="0.4">
      <c r="A13" s="667" t="s">
        <v>25</v>
      </c>
      <c r="B13" s="683">
        <v>1812</v>
      </c>
      <c r="C13" s="669" t="s">
        <v>161</v>
      </c>
      <c r="D13" s="679" t="s">
        <v>162</v>
      </c>
      <c r="E13" s="713"/>
      <c r="F13" s="816">
        <v>0</v>
      </c>
      <c r="G13" s="672">
        <v>0</v>
      </c>
      <c r="H13" s="672">
        <v>0</v>
      </c>
      <c r="I13" s="672">
        <v>0</v>
      </c>
      <c r="J13" s="673">
        <f t="shared" si="0"/>
        <v>0</v>
      </c>
      <c r="K13" s="674">
        <v>0</v>
      </c>
      <c r="L13" s="702">
        <f>AC13-AL13</f>
        <v>0</v>
      </c>
      <c r="M13" s="661"/>
      <c r="N13" s="661"/>
      <c r="O13" s="661"/>
      <c r="P13" s="661"/>
      <c r="Q13" s="661"/>
      <c r="R13" s="661"/>
      <c r="S13" s="661"/>
      <c r="T13" s="661"/>
      <c r="U13" s="855"/>
      <c r="V13" s="671"/>
      <c r="W13" s="672"/>
      <c r="X13" s="672"/>
      <c r="Y13" s="672"/>
      <c r="Z13" s="680"/>
      <c r="AA13" s="673">
        <f t="shared" si="2"/>
        <v>0</v>
      </c>
      <c r="AB13" s="674"/>
      <c r="AC13" s="661">
        <v>411400</v>
      </c>
      <c r="AD13" s="661"/>
      <c r="AE13" s="661"/>
      <c r="AF13" s="661"/>
      <c r="AG13" s="661"/>
      <c r="AH13" s="661"/>
      <c r="AI13" s="661"/>
      <c r="AJ13" s="661"/>
      <c r="AK13" s="661"/>
      <c r="AL13" s="681">
        <f>72000+339400</f>
        <v>411400</v>
      </c>
      <c r="AM13" s="677">
        <f t="shared" si="1"/>
        <v>0</v>
      </c>
      <c r="AN13" s="684" t="s">
        <v>241</v>
      </c>
    </row>
    <row r="14" spans="1:40" s="30" customFormat="1" ht="21.75" thickBot="1" x14ac:dyDescent="0.4">
      <c r="A14" s="682" t="s">
        <v>25</v>
      </c>
      <c r="B14" s="683">
        <v>1813</v>
      </c>
      <c r="C14" s="689">
        <v>44873</v>
      </c>
      <c r="D14" s="690" t="s">
        <v>174</v>
      </c>
      <c r="E14" s="671"/>
      <c r="F14" s="816"/>
      <c r="G14" s="672">
        <v>0</v>
      </c>
      <c r="H14" s="672"/>
      <c r="I14" s="672"/>
      <c r="J14" s="673">
        <f t="shared" si="0"/>
        <v>0</v>
      </c>
      <c r="K14" s="674"/>
      <c r="L14" s="662"/>
      <c r="M14" s="662"/>
      <c r="N14" s="662"/>
      <c r="O14" s="662"/>
      <c r="P14" s="662"/>
      <c r="Q14" s="662"/>
      <c r="R14" s="662"/>
      <c r="S14" s="662"/>
      <c r="T14" s="662"/>
      <c r="U14" s="855"/>
      <c r="V14" s="671"/>
      <c r="W14" s="672"/>
      <c r="X14" s="672">
        <v>6500</v>
      </c>
      <c r="Y14" s="672"/>
      <c r="Z14" s="680"/>
      <c r="AA14" s="673">
        <f t="shared" si="2"/>
        <v>6500</v>
      </c>
      <c r="AB14" s="674"/>
      <c r="AC14" s="662"/>
      <c r="AD14" s="662"/>
      <c r="AE14" s="662"/>
      <c r="AF14" s="662"/>
      <c r="AG14" s="662"/>
      <c r="AH14" s="662"/>
      <c r="AI14" s="662"/>
      <c r="AJ14" s="662"/>
      <c r="AK14" s="662"/>
      <c r="AL14" s="681">
        <f>6400+100</f>
        <v>6500</v>
      </c>
      <c r="AM14" s="677">
        <f t="shared" si="1"/>
        <v>0</v>
      </c>
      <c r="AN14" s="684" t="s">
        <v>266</v>
      </c>
    </row>
    <row r="15" spans="1:40" s="381" customFormat="1" ht="21.75" thickBot="1" x14ac:dyDescent="0.4">
      <c r="A15" s="682" t="s">
        <v>25</v>
      </c>
      <c r="B15" s="668">
        <v>1813</v>
      </c>
      <c r="C15" s="689">
        <v>44873</v>
      </c>
      <c r="D15" s="690" t="s">
        <v>175</v>
      </c>
      <c r="E15" s="671"/>
      <c r="F15" s="816">
        <v>0</v>
      </c>
      <c r="G15" s="672"/>
      <c r="H15" s="672"/>
      <c r="I15" s="672"/>
      <c r="J15" s="673">
        <f t="shared" si="0"/>
        <v>0</v>
      </c>
      <c r="K15" s="674"/>
      <c r="L15" s="662"/>
      <c r="M15" s="662"/>
      <c r="N15" s="662"/>
      <c r="O15" s="662"/>
      <c r="P15" s="662"/>
      <c r="Q15" s="662"/>
      <c r="R15" s="662"/>
      <c r="S15" s="662"/>
      <c r="T15" s="662"/>
      <c r="U15" s="855"/>
      <c r="V15" s="671"/>
      <c r="W15" s="672">
        <v>6500</v>
      </c>
      <c r="X15" s="672"/>
      <c r="Y15" s="672"/>
      <c r="Z15" s="680"/>
      <c r="AA15" s="673">
        <f t="shared" si="2"/>
        <v>6500</v>
      </c>
      <c r="AB15" s="674"/>
      <c r="AC15" s="662"/>
      <c r="AD15" s="662"/>
      <c r="AE15" s="662"/>
      <c r="AF15" s="662"/>
      <c r="AG15" s="662"/>
      <c r="AH15" s="662"/>
      <c r="AI15" s="662"/>
      <c r="AJ15" s="662"/>
      <c r="AK15" s="662"/>
      <c r="AL15" s="681">
        <f>6470+30</f>
        <v>6500</v>
      </c>
      <c r="AM15" s="677">
        <f t="shared" si="1"/>
        <v>0</v>
      </c>
      <c r="AN15" s="684" t="s">
        <v>267</v>
      </c>
    </row>
    <row r="16" spans="1:40" s="381" customFormat="1" ht="21.75" thickBot="1" x14ac:dyDescent="0.4">
      <c r="A16" s="868" t="s">
        <v>25</v>
      </c>
      <c r="B16" s="864">
        <v>167772255</v>
      </c>
      <c r="C16" s="691" t="s">
        <v>193</v>
      </c>
      <c r="D16" s="692" t="s">
        <v>196</v>
      </c>
      <c r="E16" s="672"/>
      <c r="F16" s="816">
        <f t="shared" ref="F16:F23" si="3">W16-AK16</f>
        <v>0</v>
      </c>
      <c r="G16" s="672"/>
      <c r="H16" s="672"/>
      <c r="I16" s="672"/>
      <c r="J16" s="673">
        <f t="shared" si="0"/>
        <v>0</v>
      </c>
      <c r="K16" s="674"/>
      <c r="L16" s="662"/>
      <c r="M16" s="662"/>
      <c r="N16" s="662"/>
      <c r="O16" s="661">
        <f>AF16-AL16</f>
        <v>0</v>
      </c>
      <c r="P16" s="662"/>
      <c r="Q16" s="662"/>
      <c r="R16" s="662"/>
      <c r="S16" s="662"/>
      <c r="T16" s="662"/>
      <c r="U16" s="855"/>
      <c r="V16" s="672"/>
      <c r="W16" s="672"/>
      <c r="X16" s="672"/>
      <c r="Y16" s="672"/>
      <c r="Z16" s="693"/>
      <c r="AA16" s="673">
        <f t="shared" ref="AA16:AA23" si="4">SUM(W16:Z16)</f>
        <v>0</v>
      </c>
      <c r="AB16" s="674"/>
      <c r="AC16" s="662"/>
      <c r="AD16" s="662"/>
      <c r="AE16" s="662"/>
      <c r="AF16" s="662">
        <v>9879</v>
      </c>
      <c r="AG16" s="662"/>
      <c r="AH16" s="662"/>
      <c r="AI16" s="662"/>
      <c r="AJ16" s="662"/>
      <c r="AK16" s="694"/>
      <c r="AL16" s="676">
        <v>9879</v>
      </c>
      <c r="AM16" s="677">
        <f t="shared" si="1"/>
        <v>0</v>
      </c>
      <c r="AN16" s="870" t="s">
        <v>358</v>
      </c>
    </row>
    <row r="17" spans="1:40" s="30" customFormat="1" ht="21.75" thickBot="1" x14ac:dyDescent="0.4">
      <c r="A17" s="682" t="s">
        <v>25</v>
      </c>
      <c r="B17" s="668">
        <v>167772255</v>
      </c>
      <c r="C17" s="691" t="s">
        <v>193</v>
      </c>
      <c r="D17" s="692" t="s">
        <v>196</v>
      </c>
      <c r="E17" s="672"/>
      <c r="F17" s="816">
        <f t="shared" si="3"/>
        <v>0</v>
      </c>
      <c r="G17" s="672"/>
      <c r="H17" s="672"/>
      <c r="I17" s="672"/>
      <c r="J17" s="673">
        <f t="shared" ref="J17:J23" si="5">SUM(F17:I17)</f>
        <v>0</v>
      </c>
      <c r="K17" s="674">
        <f>AB17-AL17</f>
        <v>0</v>
      </c>
      <c r="L17" s="662"/>
      <c r="M17" s="662"/>
      <c r="N17" s="662"/>
      <c r="O17" s="661"/>
      <c r="P17" s="662"/>
      <c r="Q17" s="662"/>
      <c r="R17" s="662"/>
      <c r="S17" s="662"/>
      <c r="T17" s="662"/>
      <c r="U17" s="855"/>
      <c r="V17" s="672"/>
      <c r="W17" s="672"/>
      <c r="X17" s="672"/>
      <c r="Y17" s="672"/>
      <c r="Z17" s="693"/>
      <c r="AA17" s="673">
        <f t="shared" si="4"/>
        <v>0</v>
      </c>
      <c r="AB17" s="674">
        <v>2478100</v>
      </c>
      <c r="AC17" s="662"/>
      <c r="AD17" s="662"/>
      <c r="AE17" s="662"/>
      <c r="AF17" s="662"/>
      <c r="AG17" s="662"/>
      <c r="AH17" s="662"/>
      <c r="AI17" s="662"/>
      <c r="AJ17" s="662"/>
      <c r="AK17" s="694"/>
      <c r="AL17" s="676">
        <v>2478100</v>
      </c>
      <c r="AM17" s="677">
        <f t="shared" si="1"/>
        <v>0</v>
      </c>
      <c r="AN17" s="684" t="s">
        <v>242</v>
      </c>
    </row>
    <row r="18" spans="1:40" s="30" customFormat="1" ht="21.75" thickBot="1" x14ac:dyDescent="0.4">
      <c r="A18" s="868" t="s">
        <v>25</v>
      </c>
      <c r="B18" s="864">
        <v>167772268</v>
      </c>
      <c r="C18" s="691" t="s">
        <v>194</v>
      </c>
      <c r="D18" s="692" t="s">
        <v>188</v>
      </c>
      <c r="E18" s="672"/>
      <c r="F18" s="816">
        <f t="shared" si="3"/>
        <v>0</v>
      </c>
      <c r="G18" s="672"/>
      <c r="H18" s="672"/>
      <c r="I18" s="672"/>
      <c r="J18" s="673"/>
      <c r="K18" s="674"/>
      <c r="L18" s="662"/>
      <c r="M18" s="662"/>
      <c r="N18" s="662"/>
      <c r="O18" s="661">
        <f>AF18-AL18</f>
        <v>0</v>
      </c>
      <c r="P18" s="662"/>
      <c r="Q18" s="662"/>
      <c r="R18" s="662"/>
      <c r="S18" s="662"/>
      <c r="T18" s="662"/>
      <c r="U18" s="855"/>
      <c r="V18" s="672"/>
      <c r="W18" s="672"/>
      <c r="X18" s="672"/>
      <c r="Y18" s="672"/>
      <c r="Z18" s="693"/>
      <c r="AA18" s="673">
        <f t="shared" si="4"/>
        <v>0</v>
      </c>
      <c r="AB18" s="674"/>
      <c r="AC18" s="662"/>
      <c r="AD18" s="662"/>
      <c r="AE18" s="662"/>
      <c r="AF18" s="662">
        <v>520</v>
      </c>
      <c r="AG18" s="662"/>
      <c r="AH18" s="662"/>
      <c r="AI18" s="662"/>
      <c r="AJ18" s="662"/>
      <c r="AK18" s="694"/>
      <c r="AL18" s="676">
        <v>520</v>
      </c>
      <c r="AM18" s="677">
        <f t="shared" si="1"/>
        <v>0</v>
      </c>
      <c r="AN18" s="870" t="s">
        <v>359</v>
      </c>
    </row>
    <row r="19" spans="1:40" s="379" customFormat="1" ht="21.75" thickBot="1" x14ac:dyDescent="0.4">
      <c r="A19" s="796" t="s">
        <v>25</v>
      </c>
      <c r="B19" s="715">
        <v>167772268</v>
      </c>
      <c r="C19" s="797" t="s">
        <v>194</v>
      </c>
      <c r="D19" s="798" t="s">
        <v>188</v>
      </c>
      <c r="E19" s="719"/>
      <c r="F19" s="819">
        <f t="shared" si="3"/>
        <v>0</v>
      </c>
      <c r="G19" s="719"/>
      <c r="H19" s="719"/>
      <c r="I19" s="719"/>
      <c r="J19" s="720">
        <f t="shared" si="5"/>
        <v>0</v>
      </c>
      <c r="K19" s="721">
        <f t="shared" ref="K19:K27" si="6">AB19-AL19</f>
        <v>0</v>
      </c>
      <c r="L19" s="799"/>
      <c r="M19" s="799"/>
      <c r="N19" s="799"/>
      <c r="O19" s="799"/>
      <c r="P19" s="799"/>
      <c r="Q19" s="799"/>
      <c r="R19" s="799"/>
      <c r="S19" s="799"/>
      <c r="T19" s="799"/>
      <c r="U19" s="855"/>
      <c r="V19" s="719"/>
      <c r="W19" s="719"/>
      <c r="X19" s="719"/>
      <c r="Y19" s="719"/>
      <c r="Z19" s="800"/>
      <c r="AA19" s="720">
        <f t="shared" si="4"/>
        <v>0</v>
      </c>
      <c r="AB19" s="721">
        <v>548900</v>
      </c>
      <c r="AC19" s="799"/>
      <c r="AD19" s="799"/>
      <c r="AE19" s="799"/>
      <c r="AF19" s="799"/>
      <c r="AG19" s="799"/>
      <c r="AH19" s="799"/>
      <c r="AI19" s="799"/>
      <c r="AJ19" s="799"/>
      <c r="AK19" s="801"/>
      <c r="AL19" s="792">
        <v>548900</v>
      </c>
      <c r="AM19" s="802">
        <f t="shared" si="1"/>
        <v>0</v>
      </c>
      <c r="AN19" s="791" t="s">
        <v>283</v>
      </c>
    </row>
    <row r="20" spans="1:40" s="379" customFormat="1" ht="21.75" thickBot="1" x14ac:dyDescent="0.4">
      <c r="A20" s="868" t="s">
        <v>25</v>
      </c>
      <c r="B20" s="864">
        <v>167772268</v>
      </c>
      <c r="C20" s="691" t="s">
        <v>194</v>
      </c>
      <c r="D20" s="692" t="s">
        <v>188</v>
      </c>
      <c r="E20" s="672"/>
      <c r="F20" s="816">
        <f>W20-AL20</f>
        <v>0</v>
      </c>
      <c r="G20" s="672">
        <v>0</v>
      </c>
      <c r="H20" s="672">
        <v>0</v>
      </c>
      <c r="I20" s="672">
        <v>0</v>
      </c>
      <c r="J20" s="673">
        <f t="shared" si="5"/>
        <v>0</v>
      </c>
      <c r="K20" s="674">
        <v>0</v>
      </c>
      <c r="L20" s="662"/>
      <c r="M20" s="662"/>
      <c r="N20" s="662"/>
      <c r="O20" s="661">
        <v>0</v>
      </c>
      <c r="P20" s="662"/>
      <c r="Q20" s="662"/>
      <c r="R20" s="662"/>
      <c r="S20" s="662"/>
      <c r="T20" s="662"/>
      <c r="U20" s="855"/>
      <c r="V20" s="672"/>
      <c r="W20" s="672">
        <v>120000</v>
      </c>
      <c r="X20" s="672"/>
      <c r="Y20" s="672"/>
      <c r="Z20" s="693"/>
      <c r="AA20" s="673">
        <f t="shared" si="4"/>
        <v>120000</v>
      </c>
      <c r="AB20" s="674"/>
      <c r="AC20" s="662"/>
      <c r="AD20" s="662"/>
      <c r="AE20" s="662"/>
      <c r="AF20" s="662"/>
      <c r="AG20" s="662"/>
      <c r="AH20" s="662"/>
      <c r="AI20" s="662"/>
      <c r="AJ20" s="662"/>
      <c r="AK20" s="694"/>
      <c r="AL20" s="676">
        <v>120000</v>
      </c>
      <c r="AM20" s="897">
        <f t="shared" si="1"/>
        <v>0</v>
      </c>
      <c r="AN20" s="870" t="s">
        <v>319</v>
      </c>
    </row>
    <row r="21" spans="1:40" s="379" customFormat="1" ht="21.75" thickBot="1" x14ac:dyDescent="0.4">
      <c r="A21" s="868" t="s">
        <v>25</v>
      </c>
      <c r="B21" s="864">
        <v>167772268</v>
      </c>
      <c r="C21" s="691" t="s">
        <v>194</v>
      </c>
      <c r="D21" s="692" t="s">
        <v>188</v>
      </c>
      <c r="E21" s="672"/>
      <c r="F21" s="816">
        <f t="shared" si="3"/>
        <v>0</v>
      </c>
      <c r="G21" s="672">
        <f>X21-AL21</f>
        <v>0</v>
      </c>
      <c r="H21" s="672">
        <v>0</v>
      </c>
      <c r="I21" s="672">
        <v>0</v>
      </c>
      <c r="J21" s="673">
        <f t="shared" si="5"/>
        <v>0</v>
      </c>
      <c r="K21" s="674">
        <v>0</v>
      </c>
      <c r="L21" s="662"/>
      <c r="M21" s="662"/>
      <c r="N21" s="662"/>
      <c r="O21" s="661">
        <v>0</v>
      </c>
      <c r="P21" s="662"/>
      <c r="Q21" s="662"/>
      <c r="R21" s="662"/>
      <c r="S21" s="662"/>
      <c r="T21" s="662"/>
      <c r="U21" s="855"/>
      <c r="V21" s="672"/>
      <c r="W21" s="672"/>
      <c r="X21" s="672">
        <v>90000</v>
      </c>
      <c r="Y21" s="672"/>
      <c r="Z21" s="693"/>
      <c r="AA21" s="673">
        <f t="shared" si="4"/>
        <v>90000</v>
      </c>
      <c r="AB21" s="674"/>
      <c r="AC21" s="662"/>
      <c r="AD21" s="662"/>
      <c r="AE21" s="662"/>
      <c r="AF21" s="662"/>
      <c r="AG21" s="662"/>
      <c r="AH21" s="662"/>
      <c r="AI21" s="662"/>
      <c r="AJ21" s="662"/>
      <c r="AK21" s="694"/>
      <c r="AL21" s="676">
        <v>90000</v>
      </c>
      <c r="AM21" s="897">
        <f t="shared" si="1"/>
        <v>0</v>
      </c>
      <c r="AN21" s="870" t="s">
        <v>319</v>
      </c>
    </row>
    <row r="22" spans="1:40" s="382" customFormat="1" ht="21.75" thickBot="1" x14ac:dyDescent="0.4">
      <c r="A22" s="868" t="s">
        <v>25</v>
      </c>
      <c r="B22" s="864">
        <v>167772269</v>
      </c>
      <c r="C22" s="691" t="s">
        <v>194</v>
      </c>
      <c r="D22" s="692" t="s">
        <v>188</v>
      </c>
      <c r="E22" s="672"/>
      <c r="F22" s="816">
        <f t="shared" si="3"/>
        <v>0</v>
      </c>
      <c r="G22" s="672">
        <v>0</v>
      </c>
      <c r="H22" s="672">
        <f>Y22-AL22</f>
        <v>0</v>
      </c>
      <c r="I22" s="672">
        <v>0</v>
      </c>
      <c r="J22" s="673">
        <f t="shared" si="5"/>
        <v>0</v>
      </c>
      <c r="K22" s="674">
        <v>0</v>
      </c>
      <c r="L22" s="662"/>
      <c r="M22" s="662"/>
      <c r="N22" s="662"/>
      <c r="O22" s="661">
        <v>0</v>
      </c>
      <c r="P22" s="662"/>
      <c r="Q22" s="662"/>
      <c r="R22" s="662"/>
      <c r="S22" s="662"/>
      <c r="T22" s="662"/>
      <c r="U22" s="855"/>
      <c r="V22" s="672"/>
      <c r="W22" s="672"/>
      <c r="X22" s="672"/>
      <c r="Y22" s="672">
        <v>75000</v>
      </c>
      <c r="Z22" s="693"/>
      <c r="AA22" s="673">
        <f t="shared" si="4"/>
        <v>75000</v>
      </c>
      <c r="AB22" s="674"/>
      <c r="AC22" s="662"/>
      <c r="AD22" s="662"/>
      <c r="AE22" s="662"/>
      <c r="AF22" s="662"/>
      <c r="AG22" s="662"/>
      <c r="AH22" s="662"/>
      <c r="AI22" s="662"/>
      <c r="AJ22" s="662"/>
      <c r="AK22" s="694"/>
      <c r="AL22" s="676">
        <v>75000</v>
      </c>
      <c r="AM22" s="897">
        <f t="shared" si="1"/>
        <v>0</v>
      </c>
      <c r="AN22" s="870" t="s">
        <v>319</v>
      </c>
    </row>
    <row r="23" spans="1:40" s="379" customFormat="1" ht="21.75" thickBot="1" x14ac:dyDescent="0.4">
      <c r="A23" s="868" t="s">
        <v>25</v>
      </c>
      <c r="B23" s="864">
        <v>167772269</v>
      </c>
      <c r="C23" s="691" t="s">
        <v>194</v>
      </c>
      <c r="D23" s="692" t="s">
        <v>188</v>
      </c>
      <c r="E23" s="672"/>
      <c r="F23" s="816">
        <f t="shared" si="3"/>
        <v>0</v>
      </c>
      <c r="G23" s="672"/>
      <c r="H23" s="672"/>
      <c r="I23" s="672">
        <f>Z23-AL23</f>
        <v>0</v>
      </c>
      <c r="J23" s="673">
        <f t="shared" si="5"/>
        <v>0</v>
      </c>
      <c r="K23" s="674"/>
      <c r="L23" s="662"/>
      <c r="M23" s="662"/>
      <c r="N23" s="662"/>
      <c r="O23" s="661">
        <v>0</v>
      </c>
      <c r="P23" s="662"/>
      <c r="Q23" s="662"/>
      <c r="R23" s="662"/>
      <c r="S23" s="662"/>
      <c r="T23" s="662"/>
      <c r="U23" s="855"/>
      <c r="V23" s="672"/>
      <c r="W23" s="672"/>
      <c r="X23" s="672"/>
      <c r="Y23" s="672"/>
      <c r="Z23" s="693">
        <v>63000</v>
      </c>
      <c r="AA23" s="673">
        <f t="shared" si="4"/>
        <v>63000</v>
      </c>
      <c r="AB23" s="674"/>
      <c r="AC23" s="662"/>
      <c r="AD23" s="662"/>
      <c r="AE23" s="662"/>
      <c r="AF23" s="662"/>
      <c r="AG23" s="662"/>
      <c r="AH23" s="662"/>
      <c r="AI23" s="662"/>
      <c r="AJ23" s="662"/>
      <c r="AK23" s="694"/>
      <c r="AL23" s="676">
        <v>63000</v>
      </c>
      <c r="AM23" s="897">
        <f t="shared" si="1"/>
        <v>0</v>
      </c>
      <c r="AN23" s="870" t="s">
        <v>319</v>
      </c>
    </row>
    <row r="24" spans="1:40" s="381" customFormat="1" ht="21.75" thickBot="1" x14ac:dyDescent="0.4">
      <c r="A24" s="682" t="s">
        <v>25</v>
      </c>
      <c r="B24" s="668">
        <v>167772248</v>
      </c>
      <c r="C24" s="691">
        <v>45072</v>
      </c>
      <c r="D24" s="692">
        <v>45229</v>
      </c>
      <c r="E24" s="672">
        <f>V24-AL24</f>
        <v>0</v>
      </c>
      <c r="F24" s="816"/>
      <c r="G24" s="672"/>
      <c r="H24" s="672"/>
      <c r="I24" s="672"/>
      <c r="J24" s="673"/>
      <c r="K24" s="674"/>
      <c r="L24" s="661"/>
      <c r="M24" s="661"/>
      <c r="N24" s="661"/>
      <c r="O24" s="661"/>
      <c r="P24" s="662"/>
      <c r="Q24" s="662"/>
      <c r="R24" s="662"/>
      <c r="S24" s="662"/>
      <c r="T24" s="662"/>
      <c r="U24" s="855"/>
      <c r="V24" s="672">
        <v>262500</v>
      </c>
      <c r="W24" s="672"/>
      <c r="X24" s="672"/>
      <c r="Y24" s="672"/>
      <c r="Z24" s="693"/>
      <c r="AA24" s="673"/>
      <c r="AB24" s="674"/>
      <c r="AC24" s="662"/>
      <c r="AD24" s="662"/>
      <c r="AE24" s="662"/>
      <c r="AF24" s="662"/>
      <c r="AG24" s="662"/>
      <c r="AH24" s="662"/>
      <c r="AI24" s="662"/>
      <c r="AJ24" s="662"/>
      <c r="AK24" s="694"/>
      <c r="AL24" s="676">
        <f>230000+32500</f>
        <v>262500</v>
      </c>
      <c r="AM24" s="677">
        <f t="shared" si="1"/>
        <v>0</v>
      </c>
      <c r="AN24" s="684" t="s">
        <v>243</v>
      </c>
    </row>
    <row r="25" spans="1:40" s="381" customFormat="1" ht="21.75" thickBot="1" x14ac:dyDescent="0.4">
      <c r="A25" s="682" t="s">
        <v>25</v>
      </c>
      <c r="B25" s="668">
        <v>167772303</v>
      </c>
      <c r="C25" s="691" t="s">
        <v>205</v>
      </c>
      <c r="D25" s="692" t="s">
        <v>204</v>
      </c>
      <c r="E25" s="672">
        <f>V25-AJ25</f>
        <v>0</v>
      </c>
      <c r="F25" s="816"/>
      <c r="G25" s="672"/>
      <c r="H25" s="672"/>
      <c r="I25" s="672"/>
      <c r="J25" s="673"/>
      <c r="K25" s="674">
        <f t="shared" si="6"/>
        <v>0</v>
      </c>
      <c r="L25" s="661"/>
      <c r="M25" s="661"/>
      <c r="N25" s="661"/>
      <c r="O25" s="661"/>
      <c r="P25" s="662"/>
      <c r="Q25" s="662"/>
      <c r="R25" s="662"/>
      <c r="S25" s="662"/>
      <c r="T25" s="662"/>
      <c r="U25" s="855"/>
      <c r="V25" s="672"/>
      <c r="W25" s="672"/>
      <c r="X25" s="672"/>
      <c r="Y25" s="672"/>
      <c r="Z25" s="693"/>
      <c r="AA25" s="673"/>
      <c r="AB25" s="674">
        <v>871600</v>
      </c>
      <c r="AC25" s="662"/>
      <c r="AD25" s="662"/>
      <c r="AE25" s="662"/>
      <c r="AF25" s="662"/>
      <c r="AG25" s="662"/>
      <c r="AH25" s="662"/>
      <c r="AI25" s="662"/>
      <c r="AJ25" s="662"/>
      <c r="AK25" s="694"/>
      <c r="AL25" s="676">
        <v>871600</v>
      </c>
      <c r="AM25" s="677">
        <f t="shared" ref="AM25:AM50" si="7">(V25+W25+X25+Y25+Z25+AB25+AC25+AD25+AE25+AF25+AG25+AH25+AI25+AJ25+AK25)-AL25</f>
        <v>0</v>
      </c>
      <c r="AN25" s="684" t="s">
        <v>230</v>
      </c>
    </row>
    <row r="26" spans="1:40" s="382" customFormat="1" ht="18.75" customHeight="1" thickBot="1" x14ac:dyDescent="0.4">
      <c r="A26" s="682" t="s">
        <v>25</v>
      </c>
      <c r="B26" s="668">
        <v>167772289</v>
      </c>
      <c r="C26" s="691" t="s">
        <v>206</v>
      </c>
      <c r="D26" s="692" t="s">
        <v>207</v>
      </c>
      <c r="E26" s="672">
        <f>V26-AJ26</f>
        <v>0</v>
      </c>
      <c r="F26" s="816"/>
      <c r="G26" s="672"/>
      <c r="H26" s="672"/>
      <c r="I26" s="672"/>
      <c r="J26" s="673"/>
      <c r="K26" s="674">
        <f t="shared" si="6"/>
        <v>0</v>
      </c>
      <c r="L26" s="661"/>
      <c r="M26" s="661"/>
      <c r="N26" s="661"/>
      <c r="O26" s="661"/>
      <c r="P26" s="662"/>
      <c r="Q26" s="662"/>
      <c r="R26" s="662"/>
      <c r="S26" s="662"/>
      <c r="T26" s="662"/>
      <c r="U26" s="855"/>
      <c r="V26" s="672"/>
      <c r="W26" s="672"/>
      <c r="X26" s="672"/>
      <c r="Y26" s="672"/>
      <c r="Z26" s="693"/>
      <c r="AA26" s="673"/>
      <c r="AB26" s="674">
        <v>175000</v>
      </c>
      <c r="AC26" s="662"/>
      <c r="AD26" s="662"/>
      <c r="AE26" s="662"/>
      <c r="AF26" s="662"/>
      <c r="AG26" s="662"/>
      <c r="AH26" s="662"/>
      <c r="AI26" s="662"/>
      <c r="AJ26" s="662"/>
      <c r="AK26" s="694"/>
      <c r="AL26" s="676">
        <v>175000</v>
      </c>
      <c r="AM26" s="677">
        <f t="shared" si="7"/>
        <v>0</v>
      </c>
      <c r="AN26" s="684" t="s">
        <v>245</v>
      </c>
    </row>
    <row r="27" spans="1:40" s="382" customFormat="1" ht="21.75" thickBot="1" x14ac:dyDescent="0.4">
      <c r="A27" s="682" t="s">
        <v>25</v>
      </c>
      <c r="B27" s="668">
        <v>167772292</v>
      </c>
      <c r="C27" s="691" t="s">
        <v>206</v>
      </c>
      <c r="D27" s="692" t="s">
        <v>204</v>
      </c>
      <c r="E27" s="672">
        <f>V27-AJ27</f>
        <v>0</v>
      </c>
      <c r="F27" s="816"/>
      <c r="G27" s="672"/>
      <c r="H27" s="672"/>
      <c r="I27" s="672"/>
      <c r="J27" s="673"/>
      <c r="K27" s="674">
        <f t="shared" si="6"/>
        <v>0</v>
      </c>
      <c r="L27" s="661"/>
      <c r="M27" s="661"/>
      <c r="N27" s="661"/>
      <c r="O27" s="661"/>
      <c r="P27" s="662"/>
      <c r="Q27" s="662"/>
      <c r="R27" s="662"/>
      <c r="S27" s="662"/>
      <c r="T27" s="662"/>
      <c r="U27" s="855"/>
      <c r="V27" s="672"/>
      <c r="W27" s="672"/>
      <c r="X27" s="672"/>
      <c r="Y27" s="672"/>
      <c r="Z27" s="693"/>
      <c r="AA27" s="673"/>
      <c r="AB27" s="674">
        <v>200000</v>
      </c>
      <c r="AC27" s="662"/>
      <c r="AD27" s="662"/>
      <c r="AE27" s="662"/>
      <c r="AF27" s="662"/>
      <c r="AG27" s="662"/>
      <c r="AH27" s="662"/>
      <c r="AI27" s="662"/>
      <c r="AJ27" s="662"/>
      <c r="AK27" s="694"/>
      <c r="AL27" s="676">
        <v>200000</v>
      </c>
      <c r="AM27" s="677">
        <f t="shared" si="7"/>
        <v>0</v>
      </c>
      <c r="AN27" s="684" t="s">
        <v>230</v>
      </c>
    </row>
    <row r="28" spans="1:40" s="379" customFormat="1" ht="16.5" customHeight="1" thickBot="1" x14ac:dyDescent="0.4">
      <c r="A28" s="682" t="s">
        <v>25</v>
      </c>
      <c r="B28" s="668">
        <v>167772292</v>
      </c>
      <c r="C28" s="691" t="s">
        <v>206</v>
      </c>
      <c r="D28" s="692" t="s">
        <v>204</v>
      </c>
      <c r="E28" s="672">
        <f>V28-AJ28</f>
        <v>0</v>
      </c>
      <c r="F28" s="816"/>
      <c r="G28" s="672"/>
      <c r="H28" s="672"/>
      <c r="I28" s="672"/>
      <c r="J28" s="673"/>
      <c r="K28" s="674">
        <v>0</v>
      </c>
      <c r="L28" s="661"/>
      <c r="M28" s="661"/>
      <c r="N28" s="661"/>
      <c r="O28" s="661"/>
      <c r="P28" s="662"/>
      <c r="Q28" s="661">
        <f>AH28-AL28</f>
        <v>0</v>
      </c>
      <c r="R28" s="662"/>
      <c r="S28" s="662"/>
      <c r="T28" s="662"/>
      <c r="U28" s="855"/>
      <c r="V28" s="672"/>
      <c r="W28" s="672"/>
      <c r="X28" s="672"/>
      <c r="Y28" s="672"/>
      <c r="Z28" s="693"/>
      <c r="AA28" s="673"/>
      <c r="AB28" s="674"/>
      <c r="AC28" s="662"/>
      <c r="AD28" s="662"/>
      <c r="AE28" s="662"/>
      <c r="AF28" s="662"/>
      <c r="AG28" s="662"/>
      <c r="AH28" s="662">
        <v>200000</v>
      </c>
      <c r="AI28" s="662"/>
      <c r="AJ28" s="662"/>
      <c r="AK28" s="694"/>
      <c r="AL28" s="676">
        <v>200000</v>
      </c>
      <c r="AM28" s="677">
        <f t="shared" si="7"/>
        <v>0</v>
      </c>
      <c r="AN28" s="684" t="s">
        <v>246</v>
      </c>
    </row>
    <row r="29" spans="1:40" s="30" customFormat="1" ht="18.75" customHeight="1" thickBot="1" x14ac:dyDescent="0.4">
      <c r="A29" s="682" t="s">
        <v>25</v>
      </c>
      <c r="B29" s="668">
        <v>167772294</v>
      </c>
      <c r="C29" s="691" t="s">
        <v>205</v>
      </c>
      <c r="D29" s="692">
        <v>45381</v>
      </c>
      <c r="E29" s="672">
        <f>V29-AL29</f>
        <v>0</v>
      </c>
      <c r="F29" s="816"/>
      <c r="G29" s="672"/>
      <c r="H29" s="672"/>
      <c r="I29" s="672"/>
      <c r="J29" s="673"/>
      <c r="K29" s="674"/>
      <c r="L29" s="661"/>
      <c r="M29" s="661"/>
      <c r="N29" s="661"/>
      <c r="O29" s="661"/>
      <c r="P29" s="662"/>
      <c r="Q29" s="662"/>
      <c r="R29" s="662"/>
      <c r="S29" s="662"/>
      <c r="T29" s="662"/>
      <c r="U29" s="855"/>
      <c r="V29" s="672">
        <v>250000</v>
      </c>
      <c r="W29" s="672"/>
      <c r="X29" s="672"/>
      <c r="Y29" s="672"/>
      <c r="Z29" s="693"/>
      <c r="AA29" s="673"/>
      <c r="AB29" s="674"/>
      <c r="AC29" s="662"/>
      <c r="AD29" s="662"/>
      <c r="AE29" s="662"/>
      <c r="AF29" s="662"/>
      <c r="AG29" s="662"/>
      <c r="AH29" s="662"/>
      <c r="AI29" s="662"/>
      <c r="AJ29" s="662"/>
      <c r="AK29" s="694"/>
      <c r="AL29" s="676">
        <f>90000+160000</f>
        <v>250000</v>
      </c>
      <c r="AM29" s="677">
        <f t="shared" si="7"/>
        <v>0</v>
      </c>
      <c r="AN29" s="684" t="s">
        <v>244</v>
      </c>
    </row>
    <row r="30" spans="1:40" s="379" customFormat="1" ht="18" customHeight="1" thickBot="1" x14ac:dyDescent="0.4">
      <c r="A30" s="682" t="s">
        <v>25</v>
      </c>
      <c r="B30" s="668">
        <v>167772305</v>
      </c>
      <c r="C30" s="691" t="s">
        <v>209</v>
      </c>
      <c r="D30" s="692" t="s">
        <v>204</v>
      </c>
      <c r="E30" s="672"/>
      <c r="F30" s="816"/>
      <c r="G30" s="672"/>
      <c r="H30" s="672"/>
      <c r="I30" s="672"/>
      <c r="J30" s="673"/>
      <c r="K30" s="674"/>
      <c r="L30" s="661">
        <f>AC30-AL30</f>
        <v>0</v>
      </c>
      <c r="M30" s="661"/>
      <c r="N30" s="661"/>
      <c r="O30" s="661"/>
      <c r="P30" s="662"/>
      <c r="Q30" s="662"/>
      <c r="R30" s="662"/>
      <c r="S30" s="662"/>
      <c r="T30" s="662"/>
      <c r="U30" s="855"/>
      <c r="V30" s="672"/>
      <c r="W30" s="672"/>
      <c r="X30" s="672"/>
      <c r="Y30" s="672"/>
      <c r="Z30" s="693"/>
      <c r="AA30" s="673"/>
      <c r="AB30" s="674"/>
      <c r="AC30" s="662">
        <v>450000</v>
      </c>
      <c r="AD30" s="662"/>
      <c r="AE30" s="662"/>
      <c r="AF30" s="662"/>
      <c r="AG30" s="662"/>
      <c r="AH30" s="662"/>
      <c r="AI30" s="662"/>
      <c r="AJ30" s="662"/>
      <c r="AK30" s="768"/>
      <c r="AL30" s="676">
        <v>450000</v>
      </c>
      <c r="AM30" s="677">
        <f t="shared" si="7"/>
        <v>0</v>
      </c>
      <c r="AN30" s="684" t="s">
        <v>295</v>
      </c>
    </row>
    <row r="31" spans="1:40" s="402" customFormat="1" ht="16.5" customHeight="1" thickBot="1" x14ac:dyDescent="0.4">
      <c r="A31" s="682" t="s">
        <v>25</v>
      </c>
      <c r="B31" s="668">
        <v>167772329</v>
      </c>
      <c r="C31" s="691" t="s">
        <v>218</v>
      </c>
      <c r="D31" s="692" t="s">
        <v>208</v>
      </c>
      <c r="E31" s="672">
        <f>V31-AL31</f>
        <v>0</v>
      </c>
      <c r="F31" s="816"/>
      <c r="G31" s="672"/>
      <c r="H31" s="672"/>
      <c r="I31" s="672"/>
      <c r="J31" s="673"/>
      <c r="K31" s="767"/>
      <c r="L31" s="661"/>
      <c r="M31" s="661"/>
      <c r="N31" s="661"/>
      <c r="O31" s="661"/>
      <c r="P31" s="662"/>
      <c r="Q31" s="661"/>
      <c r="R31" s="662"/>
      <c r="S31" s="662"/>
      <c r="T31" s="662"/>
      <c r="U31" s="855"/>
      <c r="V31" s="672">
        <v>250000</v>
      </c>
      <c r="W31" s="672"/>
      <c r="X31" s="672"/>
      <c r="Y31" s="672"/>
      <c r="Z31" s="693"/>
      <c r="AA31" s="673"/>
      <c r="AB31" s="674"/>
      <c r="AC31" s="662"/>
      <c r="AD31" s="662"/>
      <c r="AE31" s="662"/>
      <c r="AF31" s="662"/>
      <c r="AG31" s="662"/>
      <c r="AH31" s="662"/>
      <c r="AI31" s="662"/>
      <c r="AJ31" s="662"/>
      <c r="AK31" s="768"/>
      <c r="AL31" s="676">
        <v>250000</v>
      </c>
      <c r="AM31" s="677">
        <f t="shared" si="7"/>
        <v>0</v>
      </c>
      <c r="AN31" s="684" t="s">
        <v>273</v>
      </c>
    </row>
    <row r="32" spans="1:40" s="379" customFormat="1" ht="21.75" thickBot="1" x14ac:dyDescent="0.4">
      <c r="A32" s="868" t="s">
        <v>25</v>
      </c>
      <c r="B32" s="864">
        <v>167772332</v>
      </c>
      <c r="C32" s="923">
        <v>45279</v>
      </c>
      <c r="D32" s="882">
        <v>45381</v>
      </c>
      <c r="E32" s="672"/>
      <c r="F32" s="816"/>
      <c r="G32" s="672"/>
      <c r="H32" s="672"/>
      <c r="I32" s="672"/>
      <c r="J32" s="673"/>
      <c r="K32" s="674">
        <f>AB32-AL32</f>
        <v>0</v>
      </c>
      <c r="L32" s="662"/>
      <c r="M32" s="662"/>
      <c r="N32" s="662"/>
      <c r="O32" s="662"/>
      <c r="P32" s="662"/>
      <c r="Q32" s="662"/>
      <c r="R32" s="662"/>
      <c r="S32" s="662"/>
      <c r="T32" s="662"/>
      <c r="U32" s="855"/>
      <c r="V32" s="672"/>
      <c r="W32" s="672"/>
      <c r="X32" s="672"/>
      <c r="Y32" s="672"/>
      <c r="Z32" s="693"/>
      <c r="AA32" s="673"/>
      <c r="AB32" s="674">
        <v>2500000</v>
      </c>
      <c r="AC32" s="662"/>
      <c r="AD32" s="662"/>
      <c r="AE32" s="662"/>
      <c r="AF32" s="662"/>
      <c r="AG32" s="662"/>
      <c r="AH32" s="662"/>
      <c r="AI32" s="662"/>
      <c r="AJ32" s="662"/>
      <c r="AK32" s="768"/>
      <c r="AL32" s="676">
        <f>300000+2200000</f>
        <v>2500000</v>
      </c>
      <c r="AM32" s="808">
        <f t="shared" si="7"/>
        <v>0</v>
      </c>
      <c r="AN32" s="870" t="s">
        <v>360</v>
      </c>
    </row>
    <row r="33" spans="1:40" s="379" customFormat="1" ht="21.75" thickBot="1" x14ac:dyDescent="0.4">
      <c r="A33" s="857" t="s">
        <v>25</v>
      </c>
      <c r="B33" s="876">
        <v>167772350</v>
      </c>
      <c r="C33" s="884">
        <v>45322</v>
      </c>
      <c r="D33" s="875">
        <v>45412</v>
      </c>
      <c r="E33" s="347"/>
      <c r="F33" s="822"/>
      <c r="G33" s="347"/>
      <c r="H33" s="347"/>
      <c r="I33" s="347"/>
      <c r="J33" s="736"/>
      <c r="K33" s="348">
        <f>AB33-AL33</f>
        <v>0</v>
      </c>
      <c r="L33" s="734"/>
      <c r="M33" s="734"/>
      <c r="N33" s="734"/>
      <c r="O33" s="734"/>
      <c r="P33" s="405"/>
      <c r="Q33" s="734"/>
      <c r="R33" s="405"/>
      <c r="S33" s="405"/>
      <c r="T33" s="405"/>
      <c r="U33" s="855"/>
      <c r="V33" s="347"/>
      <c r="W33" s="347"/>
      <c r="X33" s="347"/>
      <c r="Y33" s="347"/>
      <c r="Z33" s="735"/>
      <c r="AA33" s="736"/>
      <c r="AB33" s="348">
        <v>1000000</v>
      </c>
      <c r="AC33" s="405"/>
      <c r="AD33" s="405"/>
      <c r="AE33" s="405"/>
      <c r="AF33" s="405"/>
      <c r="AG33" s="405"/>
      <c r="AH33" s="405"/>
      <c r="AI33" s="405"/>
      <c r="AJ33" s="405"/>
      <c r="AK33" s="883"/>
      <c r="AL33" s="738">
        <f>98300+901700</f>
        <v>1000000</v>
      </c>
      <c r="AM33" s="739">
        <f t="shared" si="7"/>
        <v>0</v>
      </c>
      <c r="AN33" s="856" t="s">
        <v>299</v>
      </c>
    </row>
    <row r="34" spans="1:40" s="379" customFormat="1" ht="21.75" thickBot="1" x14ac:dyDescent="0.4">
      <c r="A34" s="857" t="s">
        <v>25</v>
      </c>
      <c r="B34" s="876">
        <v>167772352</v>
      </c>
      <c r="C34" s="884">
        <v>45323</v>
      </c>
      <c r="D34" s="875">
        <v>45412</v>
      </c>
      <c r="E34" s="347"/>
      <c r="F34" s="822"/>
      <c r="G34" s="347"/>
      <c r="H34" s="347"/>
      <c r="I34" s="347"/>
      <c r="J34" s="736"/>
      <c r="K34" s="348">
        <f>AB34-AL34</f>
        <v>0</v>
      </c>
      <c r="L34" s="734"/>
      <c r="M34" s="734"/>
      <c r="N34" s="734"/>
      <c r="O34" s="734"/>
      <c r="P34" s="405"/>
      <c r="Q34" s="734"/>
      <c r="R34" s="405"/>
      <c r="S34" s="405"/>
      <c r="T34" s="405"/>
      <c r="U34" s="855"/>
      <c r="V34" s="347"/>
      <c r="W34" s="347"/>
      <c r="X34" s="347"/>
      <c r="Y34" s="347"/>
      <c r="Z34" s="735"/>
      <c r="AA34" s="736"/>
      <c r="AB34" s="348">
        <v>1000000</v>
      </c>
      <c r="AC34" s="405"/>
      <c r="AD34" s="405"/>
      <c r="AE34" s="405"/>
      <c r="AF34" s="405"/>
      <c r="AG34" s="405"/>
      <c r="AH34" s="405"/>
      <c r="AI34" s="405"/>
      <c r="AJ34" s="405"/>
      <c r="AK34" s="883"/>
      <c r="AL34" s="738">
        <f>573000+427000</f>
        <v>1000000</v>
      </c>
      <c r="AM34" s="739">
        <f t="shared" si="7"/>
        <v>0</v>
      </c>
      <c r="AN34" s="856" t="s">
        <v>300</v>
      </c>
    </row>
    <row r="35" spans="1:40" s="379" customFormat="1" ht="21.75" thickBot="1" x14ac:dyDescent="0.4">
      <c r="A35" s="857" t="s">
        <v>25</v>
      </c>
      <c r="B35" s="876">
        <v>167772357</v>
      </c>
      <c r="C35" s="884" t="s">
        <v>274</v>
      </c>
      <c r="D35" s="875" t="s">
        <v>275</v>
      </c>
      <c r="E35" s="347"/>
      <c r="F35" s="822"/>
      <c r="G35" s="347"/>
      <c r="H35" s="347"/>
      <c r="I35" s="347"/>
      <c r="J35" s="736"/>
      <c r="K35" s="348">
        <f>AB35-AL35</f>
        <v>0</v>
      </c>
      <c r="L35" s="734"/>
      <c r="M35" s="734"/>
      <c r="N35" s="734"/>
      <c r="O35" s="734"/>
      <c r="P35" s="405"/>
      <c r="Q35" s="734"/>
      <c r="R35" s="405"/>
      <c r="S35" s="405"/>
      <c r="T35" s="405"/>
      <c r="U35" s="855"/>
      <c r="V35" s="347"/>
      <c r="W35" s="347"/>
      <c r="X35" s="347"/>
      <c r="Y35" s="347"/>
      <c r="Z35" s="735"/>
      <c r="AA35" s="736"/>
      <c r="AB35" s="348">
        <v>98300</v>
      </c>
      <c r="AC35" s="405"/>
      <c r="AD35" s="405"/>
      <c r="AE35" s="405"/>
      <c r="AF35" s="405"/>
      <c r="AG35" s="405"/>
      <c r="AH35" s="405"/>
      <c r="AI35" s="405"/>
      <c r="AJ35" s="405"/>
      <c r="AK35" s="883"/>
      <c r="AL35" s="738">
        <v>98300</v>
      </c>
      <c r="AM35" s="885">
        <f t="shared" si="7"/>
        <v>0</v>
      </c>
      <c r="AN35" s="856" t="s">
        <v>301</v>
      </c>
    </row>
    <row r="36" spans="1:40" s="379" customFormat="1" ht="21.75" thickBot="1" x14ac:dyDescent="0.4">
      <c r="A36" s="857" t="s">
        <v>25</v>
      </c>
      <c r="B36" s="876">
        <v>167772365</v>
      </c>
      <c r="C36" s="884" t="s">
        <v>276</v>
      </c>
      <c r="D36" s="875" t="s">
        <v>275</v>
      </c>
      <c r="E36" s="347"/>
      <c r="F36" s="822"/>
      <c r="G36" s="347"/>
      <c r="H36" s="347"/>
      <c r="I36" s="347"/>
      <c r="J36" s="736"/>
      <c r="K36" s="348">
        <f>AB36-AL36</f>
        <v>0</v>
      </c>
      <c r="L36" s="734"/>
      <c r="M36" s="734"/>
      <c r="N36" s="734"/>
      <c r="O36" s="734"/>
      <c r="P36" s="405"/>
      <c r="Q36" s="734"/>
      <c r="R36" s="405"/>
      <c r="S36" s="405"/>
      <c r="T36" s="405"/>
      <c r="U36" s="855"/>
      <c r="V36" s="347"/>
      <c r="W36" s="347"/>
      <c r="X36" s="347"/>
      <c r="Y36" s="347"/>
      <c r="Z36" s="735"/>
      <c r="AA36" s="736">
        <f t="shared" ref="AA36:AA41" si="8">SUM(W36:Z36)</f>
        <v>0</v>
      </c>
      <c r="AB36" s="348">
        <v>495700</v>
      </c>
      <c r="AC36" s="405"/>
      <c r="AD36" s="405"/>
      <c r="AE36" s="405"/>
      <c r="AF36" s="405"/>
      <c r="AG36" s="405"/>
      <c r="AH36" s="405"/>
      <c r="AI36" s="405"/>
      <c r="AJ36" s="405"/>
      <c r="AK36" s="883"/>
      <c r="AL36" s="738">
        <v>495700</v>
      </c>
      <c r="AM36" s="885">
        <f t="shared" si="7"/>
        <v>0</v>
      </c>
      <c r="AN36" s="856" t="s">
        <v>302</v>
      </c>
    </row>
    <row r="37" spans="1:40" s="977" customFormat="1" ht="21.75" thickBot="1" x14ac:dyDescent="0.4">
      <c r="A37" s="868" t="s">
        <v>25</v>
      </c>
      <c r="B37" s="864">
        <v>167772377</v>
      </c>
      <c r="C37" s="923" t="s">
        <v>284</v>
      </c>
      <c r="D37" s="882" t="s">
        <v>285</v>
      </c>
      <c r="E37" s="672"/>
      <c r="F37" s="816">
        <f>W37-AL37</f>
        <v>0</v>
      </c>
      <c r="G37" s="816"/>
      <c r="H37" s="672"/>
      <c r="I37" s="672"/>
      <c r="J37" s="673">
        <f>SUM(F37:I37)</f>
        <v>0</v>
      </c>
      <c r="K37" s="674"/>
      <c r="L37" s="662"/>
      <c r="M37" s="662"/>
      <c r="N37" s="662"/>
      <c r="O37" s="662"/>
      <c r="P37" s="662"/>
      <c r="Q37" s="662"/>
      <c r="R37" s="662"/>
      <c r="S37" s="662"/>
      <c r="T37" s="662"/>
      <c r="U37" s="855"/>
      <c r="V37" s="672"/>
      <c r="W37" s="672">
        <v>10800</v>
      </c>
      <c r="X37" s="672"/>
      <c r="Y37" s="672"/>
      <c r="Z37" s="693"/>
      <c r="AA37" s="673">
        <f t="shared" si="8"/>
        <v>10800</v>
      </c>
      <c r="AB37" s="674"/>
      <c r="AC37" s="662"/>
      <c r="AD37" s="662"/>
      <c r="AE37" s="662"/>
      <c r="AF37" s="662"/>
      <c r="AG37" s="662"/>
      <c r="AH37" s="662"/>
      <c r="AI37" s="662"/>
      <c r="AJ37" s="662"/>
      <c r="AK37" s="768"/>
      <c r="AL37" s="676">
        <f>3600+7200</f>
        <v>10800</v>
      </c>
      <c r="AM37" s="676">
        <f t="shared" si="7"/>
        <v>0</v>
      </c>
      <c r="AN37" s="870" t="s">
        <v>422</v>
      </c>
    </row>
    <row r="38" spans="1:40" s="977" customFormat="1" ht="21.75" thickBot="1" x14ac:dyDescent="0.4">
      <c r="A38" s="868" t="s">
        <v>25</v>
      </c>
      <c r="B38" s="864">
        <v>167772377</v>
      </c>
      <c r="C38" s="923" t="s">
        <v>284</v>
      </c>
      <c r="D38" s="882" t="s">
        <v>285</v>
      </c>
      <c r="E38" s="672"/>
      <c r="F38" s="816"/>
      <c r="G38" s="816">
        <f>X38-AL38</f>
        <v>0</v>
      </c>
      <c r="H38" s="672"/>
      <c r="I38" s="672"/>
      <c r="J38" s="673">
        <f>SUM(F38:I38)</f>
        <v>0</v>
      </c>
      <c r="K38" s="674"/>
      <c r="L38" s="662"/>
      <c r="M38" s="662"/>
      <c r="N38" s="662"/>
      <c r="O38" s="662"/>
      <c r="P38" s="662"/>
      <c r="Q38" s="662"/>
      <c r="R38" s="662"/>
      <c r="S38" s="662"/>
      <c r="T38" s="662"/>
      <c r="U38" s="855"/>
      <c r="V38" s="672"/>
      <c r="W38" s="672"/>
      <c r="X38" s="672">
        <v>14700</v>
      </c>
      <c r="Y38" s="672"/>
      <c r="Z38" s="693"/>
      <c r="AA38" s="673">
        <f t="shared" si="8"/>
        <v>14700</v>
      </c>
      <c r="AB38" s="674"/>
      <c r="AC38" s="662"/>
      <c r="AD38" s="662"/>
      <c r="AE38" s="662"/>
      <c r="AF38" s="662"/>
      <c r="AG38" s="662"/>
      <c r="AH38" s="662"/>
      <c r="AI38" s="662"/>
      <c r="AJ38" s="662"/>
      <c r="AK38" s="768"/>
      <c r="AL38" s="676">
        <f>3600+11100</f>
        <v>14700</v>
      </c>
      <c r="AM38" s="676">
        <f t="shared" si="7"/>
        <v>0</v>
      </c>
      <c r="AN38" s="870" t="s">
        <v>423</v>
      </c>
    </row>
    <row r="39" spans="1:40" s="379" customFormat="1" ht="21.75" thickBot="1" x14ac:dyDescent="0.4">
      <c r="A39" s="859" t="s">
        <v>25</v>
      </c>
      <c r="B39" s="860">
        <v>167772377</v>
      </c>
      <c r="C39" s="879" t="s">
        <v>284</v>
      </c>
      <c r="D39" s="880" t="s">
        <v>285</v>
      </c>
      <c r="E39" s="459"/>
      <c r="F39" s="823"/>
      <c r="G39" s="459"/>
      <c r="H39" s="459">
        <f>Y39-AL39</f>
        <v>2160</v>
      </c>
      <c r="I39" s="459"/>
      <c r="J39" s="384">
        <f>SUM(F39:I39)</f>
        <v>2160</v>
      </c>
      <c r="K39" s="804"/>
      <c r="L39" s="460"/>
      <c r="M39" s="460"/>
      <c r="N39" s="460"/>
      <c r="O39" s="460"/>
      <c r="P39" s="460"/>
      <c r="Q39" s="460"/>
      <c r="R39" s="460"/>
      <c r="S39" s="460"/>
      <c r="T39" s="460"/>
      <c r="U39" s="855"/>
      <c r="V39" s="461"/>
      <c r="W39" s="461"/>
      <c r="X39" s="461"/>
      <c r="Y39" s="461">
        <v>16710</v>
      </c>
      <c r="Z39" s="466"/>
      <c r="AA39" s="353">
        <f t="shared" si="8"/>
        <v>16710</v>
      </c>
      <c r="AB39" s="462"/>
      <c r="AC39" s="463"/>
      <c r="AD39" s="463"/>
      <c r="AE39" s="463"/>
      <c r="AF39" s="463"/>
      <c r="AG39" s="463"/>
      <c r="AH39" s="463"/>
      <c r="AI39" s="463"/>
      <c r="AJ39" s="463"/>
      <c r="AK39" s="881"/>
      <c r="AL39" s="464">
        <f>1440+13110</f>
        <v>14550</v>
      </c>
      <c r="AM39" s="464">
        <f t="shared" si="7"/>
        <v>2160</v>
      </c>
      <c r="AN39" s="861" t="s">
        <v>424</v>
      </c>
    </row>
    <row r="40" spans="1:40" s="379" customFormat="1" ht="21.75" thickBot="1" x14ac:dyDescent="0.4">
      <c r="A40" s="859" t="s">
        <v>25</v>
      </c>
      <c r="B40" s="860">
        <v>167772377</v>
      </c>
      <c r="C40" s="879" t="s">
        <v>284</v>
      </c>
      <c r="D40" s="880" t="s">
        <v>285</v>
      </c>
      <c r="E40" s="459"/>
      <c r="F40" s="823"/>
      <c r="G40" s="823"/>
      <c r="H40" s="823"/>
      <c r="I40" s="459">
        <f>Z40-AL40</f>
        <v>2160</v>
      </c>
      <c r="J40" s="384">
        <f>SUM(F40:I40)</f>
        <v>2160</v>
      </c>
      <c r="K40" s="804"/>
      <c r="L40" s="460"/>
      <c r="M40" s="460"/>
      <c r="N40" s="460"/>
      <c r="O40" s="460"/>
      <c r="P40" s="460"/>
      <c r="Q40" s="460"/>
      <c r="R40" s="460"/>
      <c r="S40" s="460"/>
      <c r="T40" s="460"/>
      <c r="U40" s="855"/>
      <c r="V40" s="461"/>
      <c r="W40" s="461"/>
      <c r="X40" s="461"/>
      <c r="Y40" s="461"/>
      <c r="Z40" s="466">
        <v>21180</v>
      </c>
      <c r="AA40" s="353">
        <f t="shared" si="8"/>
        <v>21180</v>
      </c>
      <c r="AB40" s="462"/>
      <c r="AC40" s="463"/>
      <c r="AD40" s="463"/>
      <c r="AE40" s="463"/>
      <c r="AF40" s="463"/>
      <c r="AG40" s="463"/>
      <c r="AH40" s="463"/>
      <c r="AI40" s="463"/>
      <c r="AJ40" s="463"/>
      <c r="AK40" s="881"/>
      <c r="AL40" s="464">
        <f>1440+16200+1380</f>
        <v>19020</v>
      </c>
      <c r="AM40" s="464">
        <f t="shared" si="7"/>
        <v>2160</v>
      </c>
      <c r="AN40" s="861" t="s">
        <v>387</v>
      </c>
    </row>
    <row r="41" spans="1:40" s="379" customFormat="1" ht="21.75" thickBot="1" x14ac:dyDescent="0.4">
      <c r="A41" s="857" t="s">
        <v>25</v>
      </c>
      <c r="B41" s="876">
        <v>167772381</v>
      </c>
      <c r="C41" s="884" t="s">
        <v>257</v>
      </c>
      <c r="D41" s="875" t="s">
        <v>286</v>
      </c>
      <c r="E41" s="347"/>
      <c r="F41" s="886"/>
      <c r="G41" s="347"/>
      <c r="H41" s="347"/>
      <c r="I41" s="347"/>
      <c r="J41" s="736">
        <f>SUM(F41:I41)</f>
        <v>0</v>
      </c>
      <c r="K41" s="348">
        <f>AB41-AL41</f>
        <v>0</v>
      </c>
      <c r="L41" s="734"/>
      <c r="M41" s="734"/>
      <c r="N41" s="734"/>
      <c r="O41" s="734"/>
      <c r="P41" s="405"/>
      <c r="Q41" s="734"/>
      <c r="R41" s="405"/>
      <c r="S41" s="405"/>
      <c r="T41" s="405"/>
      <c r="U41" s="855"/>
      <c r="V41" s="347"/>
      <c r="W41" s="347"/>
      <c r="X41" s="347"/>
      <c r="Y41" s="347"/>
      <c r="Z41" s="735"/>
      <c r="AA41" s="736">
        <f t="shared" si="8"/>
        <v>0</v>
      </c>
      <c r="AB41" s="348">
        <v>157400</v>
      </c>
      <c r="AC41" s="405"/>
      <c r="AD41" s="405"/>
      <c r="AE41" s="405"/>
      <c r="AF41" s="405"/>
      <c r="AG41" s="405"/>
      <c r="AH41" s="405"/>
      <c r="AI41" s="405"/>
      <c r="AJ41" s="405"/>
      <c r="AK41" s="883"/>
      <c r="AL41" s="738">
        <v>157400</v>
      </c>
      <c r="AM41" s="885">
        <f>(V41+W41+X41+Y41+Z41+AB41+AC41+AD41+AE41+AF41+AG41+AH41+AI41+AJ41+AK41)-AL41</f>
        <v>0</v>
      </c>
      <c r="AN41" s="856" t="s">
        <v>303</v>
      </c>
    </row>
    <row r="42" spans="1:40" s="902" customFormat="1" ht="21.75" thickBot="1" x14ac:dyDescent="0.4">
      <c r="A42" s="857" t="s">
        <v>25</v>
      </c>
      <c r="B42" s="972">
        <v>167772411</v>
      </c>
      <c r="C42" s="973" t="s">
        <v>334</v>
      </c>
      <c r="D42" s="974" t="s">
        <v>335</v>
      </c>
      <c r="E42" s="346">
        <f>V42-AL42</f>
        <v>0</v>
      </c>
      <c r="F42" s="822"/>
      <c r="G42" s="822"/>
      <c r="H42" s="822"/>
      <c r="I42" s="347"/>
      <c r="J42" s="736">
        <f t="shared" ref="J42:J47" si="9">SUM(F42:I42)</f>
        <v>0</v>
      </c>
      <c r="K42" s="348"/>
      <c r="L42" s="405"/>
      <c r="M42" s="405"/>
      <c r="N42" s="405"/>
      <c r="O42" s="405"/>
      <c r="P42" s="405"/>
      <c r="Q42" s="405"/>
      <c r="R42" s="405"/>
      <c r="S42" s="405"/>
      <c r="T42" s="405"/>
      <c r="U42" s="855"/>
      <c r="V42" s="347">
        <v>212500</v>
      </c>
      <c r="W42" s="347"/>
      <c r="X42" s="347"/>
      <c r="Y42" s="347"/>
      <c r="Z42" s="735"/>
      <c r="AA42" s="736"/>
      <c r="AB42" s="348"/>
      <c r="AC42" s="975"/>
      <c r="AD42" s="405"/>
      <c r="AE42" s="405"/>
      <c r="AF42" s="405"/>
      <c r="AG42" s="405"/>
      <c r="AH42" s="405"/>
      <c r="AI42" s="405"/>
      <c r="AJ42" s="405"/>
      <c r="AK42" s="883"/>
      <c r="AL42" s="738">
        <f>20000+625+191875</f>
        <v>212500</v>
      </c>
      <c r="AM42" s="738">
        <f>(V42+W42+X42+Y42+Z42+AB42+AC42+AD42+AE42+AF42+AG42+AH42+AI42+AJ42+AK42)-AL42</f>
        <v>0</v>
      </c>
      <c r="AN42" s="856" t="s">
        <v>388</v>
      </c>
    </row>
    <row r="43" spans="1:40" s="379" customFormat="1" ht="21.75" thickBot="1" x14ac:dyDescent="0.4">
      <c r="A43" s="857" t="s">
        <v>25</v>
      </c>
      <c r="B43" s="620">
        <v>167772410</v>
      </c>
      <c r="C43" s="973" t="s">
        <v>334</v>
      </c>
      <c r="D43" s="974" t="s">
        <v>336</v>
      </c>
      <c r="E43" s="347"/>
      <c r="F43" s="822"/>
      <c r="G43" s="822"/>
      <c r="H43" s="822"/>
      <c r="I43" s="347"/>
      <c r="J43" s="736">
        <f t="shared" si="9"/>
        <v>0</v>
      </c>
      <c r="K43" s="348"/>
      <c r="L43" s="405"/>
      <c r="M43" s="405">
        <f>AD43-AL43</f>
        <v>0</v>
      </c>
      <c r="N43" s="405"/>
      <c r="O43" s="405"/>
      <c r="P43" s="405"/>
      <c r="Q43" s="405"/>
      <c r="R43" s="405"/>
      <c r="S43" s="405"/>
      <c r="T43" s="405"/>
      <c r="U43" s="855"/>
      <c r="V43" s="347"/>
      <c r="W43" s="347"/>
      <c r="X43" s="347"/>
      <c r="Y43" s="347"/>
      <c r="Z43" s="735"/>
      <c r="AA43" s="736"/>
      <c r="AB43" s="348"/>
      <c r="AC43" s="405"/>
      <c r="AD43" s="405">
        <v>40000</v>
      </c>
      <c r="AE43" s="405"/>
      <c r="AF43" s="405"/>
      <c r="AG43" s="405"/>
      <c r="AH43" s="405"/>
      <c r="AI43" s="405"/>
      <c r="AJ43" s="405"/>
      <c r="AK43" s="883"/>
      <c r="AL43" s="738">
        <v>40000</v>
      </c>
      <c r="AM43" s="738">
        <f t="shared" si="7"/>
        <v>0</v>
      </c>
      <c r="AN43" s="856" t="s">
        <v>389</v>
      </c>
    </row>
    <row r="44" spans="1:40" s="379" customFormat="1" ht="21.75" thickBot="1" x14ac:dyDescent="0.4">
      <c r="A44" s="857" t="s">
        <v>25</v>
      </c>
      <c r="B44" s="876">
        <v>167772410</v>
      </c>
      <c r="C44" s="973" t="s">
        <v>334</v>
      </c>
      <c r="D44" s="974" t="s">
        <v>336</v>
      </c>
      <c r="E44" s="347"/>
      <c r="F44" s="822"/>
      <c r="G44" s="822"/>
      <c r="H44" s="822"/>
      <c r="I44" s="347"/>
      <c r="J44" s="736">
        <f t="shared" si="9"/>
        <v>0</v>
      </c>
      <c r="K44" s="348"/>
      <c r="L44" s="405"/>
      <c r="M44" s="405"/>
      <c r="N44" s="405">
        <f>AE44-AL44</f>
        <v>0</v>
      </c>
      <c r="O44" s="405"/>
      <c r="P44" s="405"/>
      <c r="Q44" s="405"/>
      <c r="R44" s="405"/>
      <c r="S44" s="405"/>
      <c r="T44" s="405"/>
      <c r="U44" s="855"/>
      <c r="V44" s="347"/>
      <c r="W44" s="347"/>
      <c r="X44" s="347"/>
      <c r="Y44" s="347"/>
      <c r="Z44" s="735"/>
      <c r="AA44" s="736"/>
      <c r="AB44" s="348"/>
      <c r="AC44" s="405"/>
      <c r="AD44" s="405"/>
      <c r="AE44" s="405">
        <v>20000</v>
      </c>
      <c r="AF44" s="405"/>
      <c r="AG44" s="405"/>
      <c r="AH44" s="405"/>
      <c r="AI44" s="405"/>
      <c r="AJ44" s="405"/>
      <c r="AK44" s="883"/>
      <c r="AL44" s="738">
        <v>20000</v>
      </c>
      <c r="AM44" s="738">
        <f t="shared" si="7"/>
        <v>0</v>
      </c>
      <c r="AN44" s="856" t="s">
        <v>389</v>
      </c>
    </row>
    <row r="45" spans="1:40" s="379" customFormat="1" ht="21.75" thickBot="1" x14ac:dyDescent="0.4">
      <c r="A45" s="857" t="s">
        <v>25</v>
      </c>
      <c r="B45" s="620">
        <v>167772409</v>
      </c>
      <c r="C45" s="973" t="s">
        <v>334</v>
      </c>
      <c r="D45" s="974" t="s">
        <v>336</v>
      </c>
      <c r="E45" s="346"/>
      <c r="F45" s="822"/>
      <c r="G45" s="822"/>
      <c r="H45" s="822"/>
      <c r="I45" s="347">
        <f>Z45-AL45</f>
        <v>0</v>
      </c>
      <c r="J45" s="736">
        <f>SUM(F45:I45)</f>
        <v>0</v>
      </c>
      <c r="K45" s="348"/>
      <c r="L45" s="975"/>
      <c r="M45" s="405"/>
      <c r="N45" s="405"/>
      <c r="O45" s="405"/>
      <c r="P45" s="405"/>
      <c r="Q45" s="405"/>
      <c r="R45" s="405"/>
      <c r="S45" s="405"/>
      <c r="T45" s="405"/>
      <c r="U45" s="1136"/>
      <c r="V45" s="347"/>
      <c r="W45" s="347"/>
      <c r="X45" s="347"/>
      <c r="Y45" s="347"/>
      <c r="Z45" s="735">
        <v>34530</v>
      </c>
      <c r="AA45" s="347"/>
      <c r="AB45" s="348"/>
      <c r="AC45" s="975"/>
      <c r="AD45" s="405"/>
      <c r="AE45" s="405"/>
      <c r="AF45" s="405"/>
      <c r="AG45" s="405"/>
      <c r="AH45" s="405"/>
      <c r="AI45" s="405"/>
      <c r="AJ45" s="405"/>
      <c r="AK45" s="883"/>
      <c r="AL45" s="738">
        <v>34530</v>
      </c>
      <c r="AM45" s="738">
        <f t="shared" si="7"/>
        <v>0</v>
      </c>
      <c r="AN45" s="856" t="s">
        <v>524</v>
      </c>
    </row>
    <row r="46" spans="1:40" s="379" customFormat="1" ht="21.75" thickBot="1" x14ac:dyDescent="0.4">
      <c r="A46" s="857" t="s">
        <v>25</v>
      </c>
      <c r="B46" s="876">
        <v>167772409</v>
      </c>
      <c r="C46" s="973" t="s">
        <v>334</v>
      </c>
      <c r="D46" s="974" t="s">
        <v>336</v>
      </c>
      <c r="E46" s="347"/>
      <c r="F46" s="822"/>
      <c r="G46" s="822"/>
      <c r="H46" s="347">
        <f>Y46-AL46</f>
        <v>0</v>
      </c>
      <c r="I46" s="347"/>
      <c r="J46" s="736">
        <f t="shared" si="9"/>
        <v>0</v>
      </c>
      <c r="K46" s="348"/>
      <c r="L46" s="405"/>
      <c r="M46" s="405"/>
      <c r="N46" s="405"/>
      <c r="O46" s="405"/>
      <c r="P46" s="405"/>
      <c r="Q46" s="405"/>
      <c r="R46" s="405"/>
      <c r="S46" s="405"/>
      <c r="T46" s="405"/>
      <c r="U46" s="1136"/>
      <c r="V46" s="347"/>
      <c r="W46" s="347"/>
      <c r="X46" s="347"/>
      <c r="Y46" s="347">
        <v>33120</v>
      </c>
      <c r="Z46" s="735"/>
      <c r="AA46" s="347"/>
      <c r="AB46" s="348"/>
      <c r="AC46" s="405"/>
      <c r="AD46" s="405"/>
      <c r="AE46" s="405"/>
      <c r="AF46" s="405"/>
      <c r="AG46" s="405"/>
      <c r="AH46" s="405"/>
      <c r="AI46" s="405"/>
      <c r="AJ46" s="405"/>
      <c r="AK46" s="883"/>
      <c r="AL46" s="738">
        <v>33120</v>
      </c>
      <c r="AM46" s="738">
        <f t="shared" si="7"/>
        <v>0</v>
      </c>
      <c r="AN46" s="856" t="s">
        <v>524</v>
      </c>
    </row>
    <row r="47" spans="1:40" s="379" customFormat="1" ht="21.75" thickBot="1" x14ac:dyDescent="0.4">
      <c r="A47" s="857" t="s">
        <v>25</v>
      </c>
      <c r="B47" s="876">
        <v>167772409</v>
      </c>
      <c r="C47" s="973" t="s">
        <v>334</v>
      </c>
      <c r="D47" s="974" t="s">
        <v>336</v>
      </c>
      <c r="E47" s="347"/>
      <c r="F47" s="822"/>
      <c r="G47" s="822">
        <f>X47-AL47</f>
        <v>0</v>
      </c>
      <c r="H47" s="822"/>
      <c r="I47" s="347"/>
      <c r="J47" s="736">
        <f t="shared" si="9"/>
        <v>0</v>
      </c>
      <c r="K47" s="348"/>
      <c r="L47" s="405"/>
      <c r="M47" s="405"/>
      <c r="N47" s="405"/>
      <c r="O47" s="405"/>
      <c r="P47" s="405"/>
      <c r="Q47" s="405"/>
      <c r="R47" s="405"/>
      <c r="S47" s="405"/>
      <c r="T47" s="405"/>
      <c r="U47" s="1136"/>
      <c r="V47" s="347"/>
      <c r="W47" s="347"/>
      <c r="X47" s="347">
        <v>36000</v>
      </c>
      <c r="Y47" s="347"/>
      <c r="Z47" s="735"/>
      <c r="AA47" s="347"/>
      <c r="AB47" s="348"/>
      <c r="AC47" s="405"/>
      <c r="AD47" s="405"/>
      <c r="AE47" s="405"/>
      <c r="AF47" s="405"/>
      <c r="AG47" s="405"/>
      <c r="AH47" s="405"/>
      <c r="AI47" s="405"/>
      <c r="AJ47" s="405"/>
      <c r="AK47" s="883"/>
      <c r="AL47" s="738">
        <v>36000</v>
      </c>
      <c r="AM47" s="738">
        <f t="shared" si="7"/>
        <v>0</v>
      </c>
      <c r="AN47" s="856" t="s">
        <v>524</v>
      </c>
    </row>
    <row r="48" spans="1:40" s="379" customFormat="1" ht="21.75" thickBot="1" x14ac:dyDescent="0.4">
      <c r="A48" s="857" t="s">
        <v>25</v>
      </c>
      <c r="B48" s="876">
        <v>167772409</v>
      </c>
      <c r="C48" s="973" t="s">
        <v>334</v>
      </c>
      <c r="D48" s="974" t="s">
        <v>336</v>
      </c>
      <c r="E48" s="347"/>
      <c r="F48" s="822">
        <f>W48-AL48</f>
        <v>0</v>
      </c>
      <c r="G48" s="822"/>
      <c r="H48" s="822"/>
      <c r="I48" s="347"/>
      <c r="J48" s="736">
        <f>SUM(F48:I48)</f>
        <v>0</v>
      </c>
      <c r="K48" s="348"/>
      <c r="L48" s="405"/>
      <c r="M48" s="405"/>
      <c r="N48" s="405"/>
      <c r="O48" s="405"/>
      <c r="P48" s="405"/>
      <c r="Q48" s="405"/>
      <c r="R48" s="405"/>
      <c r="S48" s="405"/>
      <c r="T48" s="405"/>
      <c r="U48" s="1136"/>
      <c r="V48" s="347"/>
      <c r="W48" s="347">
        <v>51750</v>
      </c>
      <c r="X48" s="347"/>
      <c r="Y48" s="347"/>
      <c r="Z48" s="735"/>
      <c r="AA48" s="347">
        <f>SUM(W48:Z48)</f>
        <v>51750</v>
      </c>
      <c r="AB48" s="348"/>
      <c r="AC48" s="405"/>
      <c r="AD48" s="405"/>
      <c r="AE48" s="405"/>
      <c r="AF48" s="405"/>
      <c r="AG48" s="405"/>
      <c r="AH48" s="405"/>
      <c r="AI48" s="405"/>
      <c r="AJ48" s="405"/>
      <c r="AK48" s="883"/>
      <c r="AL48" s="738">
        <v>51750</v>
      </c>
      <c r="AM48" s="738">
        <f t="shared" si="7"/>
        <v>0</v>
      </c>
      <c r="AN48" s="856" t="s">
        <v>524</v>
      </c>
    </row>
    <row r="49" spans="1:40" s="379" customFormat="1" ht="21.75" thickBot="1" x14ac:dyDescent="0.4">
      <c r="A49" s="868" t="s">
        <v>25</v>
      </c>
      <c r="B49" s="864">
        <v>167772188</v>
      </c>
      <c r="C49" s="923" t="s">
        <v>390</v>
      </c>
      <c r="D49" s="882" t="s">
        <v>391</v>
      </c>
      <c r="E49" s="672">
        <f>V49-AL49</f>
        <v>0</v>
      </c>
      <c r="F49" s="816"/>
      <c r="G49" s="816"/>
      <c r="H49" s="816"/>
      <c r="I49" s="672"/>
      <c r="J49" s="673"/>
      <c r="K49" s="674"/>
      <c r="L49" s="662"/>
      <c r="M49" s="662"/>
      <c r="N49" s="662"/>
      <c r="O49" s="662"/>
      <c r="P49" s="662"/>
      <c r="Q49" s="662"/>
      <c r="R49" s="662"/>
      <c r="S49" s="662"/>
      <c r="T49" s="662"/>
      <c r="U49" s="855"/>
      <c r="V49" s="672">
        <v>250000</v>
      </c>
      <c r="W49" s="672"/>
      <c r="X49" s="672"/>
      <c r="Y49" s="672"/>
      <c r="Z49" s="693"/>
      <c r="AA49" s="672"/>
      <c r="AB49" s="674"/>
      <c r="AC49" s="662"/>
      <c r="AD49" s="662"/>
      <c r="AE49" s="662"/>
      <c r="AF49" s="662"/>
      <c r="AG49" s="662"/>
      <c r="AH49" s="662"/>
      <c r="AI49" s="662"/>
      <c r="AJ49" s="662"/>
      <c r="AK49" s="768"/>
      <c r="AL49" s="676">
        <v>250000</v>
      </c>
      <c r="AM49" s="676">
        <f t="shared" si="7"/>
        <v>0</v>
      </c>
      <c r="AN49" s="870" t="s">
        <v>510</v>
      </c>
    </row>
    <row r="50" spans="1:40" s="379" customFormat="1" ht="21.75" thickBot="1" x14ac:dyDescent="0.4">
      <c r="A50" s="868" t="s">
        <v>25</v>
      </c>
      <c r="B50" s="864">
        <v>167772249</v>
      </c>
      <c r="C50" s="923" t="s">
        <v>425</v>
      </c>
      <c r="D50" s="882" t="s">
        <v>335</v>
      </c>
      <c r="E50" s="672"/>
      <c r="F50" s="816"/>
      <c r="G50" s="816"/>
      <c r="H50" s="816"/>
      <c r="I50" s="672"/>
      <c r="J50" s="673"/>
      <c r="K50" s="674"/>
      <c r="L50" s="662"/>
      <c r="M50" s="662"/>
      <c r="N50" s="662"/>
      <c r="O50" s="662"/>
      <c r="P50" s="662"/>
      <c r="Q50" s="662"/>
      <c r="R50" s="662"/>
      <c r="S50" s="662"/>
      <c r="T50" s="662"/>
      <c r="U50" s="855"/>
      <c r="V50" s="672"/>
      <c r="W50" s="672"/>
      <c r="X50" s="672"/>
      <c r="Y50" s="672"/>
      <c r="Z50" s="693"/>
      <c r="AA50" s="672"/>
      <c r="AB50" s="674"/>
      <c r="AC50" s="662"/>
      <c r="AD50" s="662">
        <v>20000</v>
      </c>
      <c r="AE50" s="662"/>
      <c r="AF50" s="662"/>
      <c r="AG50" s="662"/>
      <c r="AH50" s="662"/>
      <c r="AI50" s="662"/>
      <c r="AJ50" s="662"/>
      <c r="AK50" s="768"/>
      <c r="AL50" s="676">
        <v>20000</v>
      </c>
      <c r="AM50" s="676">
        <f t="shared" si="7"/>
        <v>0</v>
      </c>
      <c r="AN50" s="870" t="s">
        <v>475</v>
      </c>
    </row>
    <row r="51" spans="1:40" s="379" customFormat="1" ht="21.75" thickBot="1" x14ac:dyDescent="0.4">
      <c r="A51" s="868" t="s">
        <v>25</v>
      </c>
      <c r="B51" s="864">
        <v>167772250</v>
      </c>
      <c r="C51" s="923" t="s">
        <v>426</v>
      </c>
      <c r="D51" s="882" t="s">
        <v>335</v>
      </c>
      <c r="E51" s="672"/>
      <c r="F51" s="816"/>
      <c r="G51" s="816"/>
      <c r="H51" s="816"/>
      <c r="I51" s="672"/>
      <c r="J51" s="673"/>
      <c r="K51" s="674"/>
      <c r="L51" s="662"/>
      <c r="M51" s="662"/>
      <c r="N51" s="662">
        <f>AE51-AL51</f>
        <v>0</v>
      </c>
      <c r="O51" s="662"/>
      <c r="P51" s="662"/>
      <c r="Q51" s="662"/>
      <c r="R51" s="662"/>
      <c r="S51" s="662"/>
      <c r="T51" s="662"/>
      <c r="U51" s="1119"/>
      <c r="V51" s="672"/>
      <c r="W51" s="672"/>
      <c r="X51" s="672"/>
      <c r="Y51" s="672"/>
      <c r="Z51" s="693"/>
      <c r="AA51" s="672"/>
      <c r="AB51" s="674"/>
      <c r="AC51" s="662"/>
      <c r="AD51" s="662"/>
      <c r="AE51" s="662">
        <v>30000</v>
      </c>
      <c r="AF51" s="662"/>
      <c r="AG51" s="662"/>
      <c r="AH51" s="662"/>
      <c r="AI51" s="662"/>
      <c r="AJ51" s="662"/>
      <c r="AK51" s="768"/>
      <c r="AL51" s="676">
        <f>22000+8000</f>
        <v>30000</v>
      </c>
      <c r="AM51" s="676">
        <f t="shared" ref="AM51:AM57" si="10">(V51+W51+X51+Y51+Z51+AB51+AC51+AD51+AE51+AF51+AG51+AH51+AI51+AJ51+AK51)-AL51</f>
        <v>0</v>
      </c>
      <c r="AN51" s="870" t="s">
        <v>525</v>
      </c>
    </row>
    <row r="52" spans="1:40" s="379" customFormat="1" ht="21.75" thickBot="1" x14ac:dyDescent="0.4">
      <c r="A52" s="868" t="s">
        <v>25</v>
      </c>
      <c r="B52" s="864">
        <v>167772386</v>
      </c>
      <c r="C52" s="923">
        <v>45701</v>
      </c>
      <c r="D52" s="882">
        <v>45960</v>
      </c>
      <c r="E52" s="672">
        <f>V52-AL52</f>
        <v>0</v>
      </c>
      <c r="F52" s="816"/>
      <c r="G52" s="816"/>
      <c r="H52" s="816"/>
      <c r="I52" s="672"/>
      <c r="J52" s="673"/>
      <c r="K52" s="674"/>
      <c r="L52" s="662"/>
      <c r="M52" s="662"/>
      <c r="N52" s="662"/>
      <c r="O52" s="662"/>
      <c r="P52" s="662"/>
      <c r="Q52" s="662"/>
      <c r="R52" s="662"/>
      <c r="S52" s="662"/>
      <c r="T52" s="662"/>
      <c r="U52" s="1119"/>
      <c r="V52" s="672">
        <v>250000</v>
      </c>
      <c r="W52" s="672"/>
      <c r="X52" s="672"/>
      <c r="Y52" s="672"/>
      <c r="Z52" s="693"/>
      <c r="AA52" s="672"/>
      <c r="AB52" s="674"/>
      <c r="AC52" s="662"/>
      <c r="AD52" s="662"/>
      <c r="AE52" s="662"/>
      <c r="AF52" s="662"/>
      <c r="AG52" s="662"/>
      <c r="AH52" s="662"/>
      <c r="AI52" s="662"/>
      <c r="AJ52" s="662"/>
      <c r="AK52" s="768"/>
      <c r="AL52" s="676">
        <v>250000</v>
      </c>
      <c r="AM52" s="676">
        <f t="shared" si="10"/>
        <v>0</v>
      </c>
      <c r="AN52" s="870" t="s">
        <v>532</v>
      </c>
    </row>
    <row r="53" spans="1:40" s="379" customFormat="1" ht="21.75" thickBot="1" x14ac:dyDescent="0.4">
      <c r="A53" s="868" t="s">
        <v>25</v>
      </c>
      <c r="B53" s="864">
        <v>167772400</v>
      </c>
      <c r="C53" s="923" t="s">
        <v>481</v>
      </c>
      <c r="D53" s="882" t="s">
        <v>335</v>
      </c>
      <c r="E53" s="672"/>
      <c r="F53" s="816"/>
      <c r="G53" s="816"/>
      <c r="H53" s="816"/>
      <c r="I53" s="672"/>
      <c r="J53" s="673"/>
      <c r="K53" s="674"/>
      <c r="L53" s="662">
        <f>AC53-AL53</f>
        <v>0</v>
      </c>
      <c r="M53" s="662"/>
      <c r="N53" s="662"/>
      <c r="O53" s="662"/>
      <c r="P53" s="662"/>
      <c r="Q53" s="662"/>
      <c r="R53" s="662"/>
      <c r="S53" s="662"/>
      <c r="T53" s="662"/>
      <c r="U53" s="855"/>
      <c r="V53" s="672"/>
      <c r="W53" s="672"/>
      <c r="X53" s="672"/>
      <c r="Y53" s="672"/>
      <c r="Z53" s="693"/>
      <c r="AA53" s="672"/>
      <c r="AB53" s="674"/>
      <c r="AC53" s="662">
        <v>260400</v>
      </c>
      <c r="AD53" s="662"/>
      <c r="AE53" s="662"/>
      <c r="AF53" s="662"/>
      <c r="AG53" s="662"/>
      <c r="AH53" s="662"/>
      <c r="AI53" s="662"/>
      <c r="AJ53" s="662"/>
      <c r="AK53" s="768"/>
      <c r="AL53" s="676">
        <v>260400</v>
      </c>
      <c r="AM53" s="676">
        <f t="shared" si="10"/>
        <v>0</v>
      </c>
      <c r="AN53" s="870" t="s">
        <v>502</v>
      </c>
    </row>
    <row r="54" spans="1:40" s="379" customFormat="1" ht="21.75" thickBot="1" x14ac:dyDescent="0.4">
      <c r="A54" s="863" t="s">
        <v>25</v>
      </c>
      <c r="B54" s="709">
        <v>167772397</v>
      </c>
      <c r="C54" s="978" t="s">
        <v>481</v>
      </c>
      <c r="D54" s="979" t="s">
        <v>335</v>
      </c>
      <c r="E54" s="980"/>
      <c r="F54" s="989"/>
      <c r="G54" s="989"/>
      <c r="H54" s="989"/>
      <c r="I54" s="980"/>
      <c r="J54" s="673"/>
      <c r="K54" s="982"/>
      <c r="L54" s="983"/>
      <c r="M54" s="983"/>
      <c r="N54" s="983">
        <f>AE54-AL54</f>
        <v>0</v>
      </c>
      <c r="O54" s="983"/>
      <c r="P54" s="983"/>
      <c r="Q54" s="983"/>
      <c r="R54" s="983"/>
      <c r="S54" s="983"/>
      <c r="T54" s="983"/>
      <c r="U54" s="855"/>
      <c r="V54" s="980"/>
      <c r="W54" s="980"/>
      <c r="X54" s="980"/>
      <c r="Y54" s="980"/>
      <c r="Z54" s="984"/>
      <c r="AA54" s="980"/>
      <c r="AB54" s="982"/>
      <c r="AC54" s="983"/>
      <c r="AD54" s="983"/>
      <c r="AE54" s="983">
        <v>20000</v>
      </c>
      <c r="AF54" s="983"/>
      <c r="AG54" s="983"/>
      <c r="AH54" s="983"/>
      <c r="AI54" s="983"/>
      <c r="AJ54" s="983"/>
      <c r="AK54" s="1128"/>
      <c r="AL54" s="986">
        <v>20000</v>
      </c>
      <c r="AM54" s="986">
        <f t="shared" si="10"/>
        <v>0</v>
      </c>
      <c r="AN54" s="988" t="s">
        <v>501</v>
      </c>
    </row>
    <row r="55" spans="1:40" s="379" customFormat="1" ht="21.75" thickBot="1" x14ac:dyDescent="0.4">
      <c r="A55" s="863" t="s">
        <v>25</v>
      </c>
      <c r="B55" s="709">
        <v>167772397</v>
      </c>
      <c r="C55" s="978" t="s">
        <v>481</v>
      </c>
      <c r="D55" s="979" t="s">
        <v>335</v>
      </c>
      <c r="E55" s="980"/>
      <c r="F55" s="989"/>
      <c r="G55" s="989"/>
      <c r="H55" s="989"/>
      <c r="I55" s="980"/>
      <c r="J55" s="673"/>
      <c r="K55" s="982"/>
      <c r="L55" s="983"/>
      <c r="M55" s="983"/>
      <c r="N55" s="983"/>
      <c r="O55" s="983"/>
      <c r="P55" s="983">
        <f>AG55-AL55</f>
        <v>0</v>
      </c>
      <c r="Q55" s="983"/>
      <c r="R55" s="983"/>
      <c r="S55" s="983"/>
      <c r="T55" s="983"/>
      <c r="U55" s="855"/>
      <c r="V55" s="980"/>
      <c r="W55" s="980"/>
      <c r="X55" s="980"/>
      <c r="Y55" s="980"/>
      <c r="Z55" s="984"/>
      <c r="AA55" s="1130"/>
      <c r="AB55" s="1129"/>
      <c r="AC55" s="983"/>
      <c r="AD55" s="983"/>
      <c r="AE55" s="983"/>
      <c r="AF55" s="983"/>
      <c r="AG55" s="983">
        <v>1760</v>
      </c>
      <c r="AH55" s="983"/>
      <c r="AI55" s="983"/>
      <c r="AJ55" s="983"/>
      <c r="AK55" s="1128"/>
      <c r="AL55" s="986">
        <v>1760</v>
      </c>
      <c r="AM55" s="986">
        <f t="shared" si="10"/>
        <v>0</v>
      </c>
      <c r="AN55" s="988" t="s">
        <v>498</v>
      </c>
    </row>
    <row r="56" spans="1:40" s="379" customFormat="1" ht="21.75" thickBot="1" x14ac:dyDescent="0.4">
      <c r="A56" s="868" t="s">
        <v>25</v>
      </c>
      <c r="B56" s="864">
        <v>167772407</v>
      </c>
      <c r="C56" s="923" t="s">
        <v>499</v>
      </c>
      <c r="D56" s="882" t="s">
        <v>500</v>
      </c>
      <c r="E56" s="672"/>
      <c r="F56" s="816"/>
      <c r="G56" s="816"/>
      <c r="H56" s="816"/>
      <c r="I56" s="672"/>
      <c r="J56" s="673"/>
      <c r="K56" s="674">
        <f>AB56-AL56</f>
        <v>0</v>
      </c>
      <c r="L56" s="662"/>
      <c r="M56" s="662"/>
      <c r="N56" s="662"/>
      <c r="O56" s="662"/>
      <c r="P56" s="662"/>
      <c r="Q56" s="662"/>
      <c r="R56" s="662"/>
      <c r="S56" s="662"/>
      <c r="T56" s="662"/>
      <c r="U56" s="855"/>
      <c r="V56" s="672"/>
      <c r="W56" s="672"/>
      <c r="X56" s="672"/>
      <c r="Y56" s="672"/>
      <c r="Z56" s="693"/>
      <c r="AA56" s="672"/>
      <c r="AB56" s="674">
        <v>1000000</v>
      </c>
      <c r="AC56" s="662"/>
      <c r="AD56" s="662"/>
      <c r="AE56" s="662"/>
      <c r="AF56" s="662"/>
      <c r="AG56" s="662"/>
      <c r="AH56" s="662"/>
      <c r="AI56" s="662"/>
      <c r="AJ56" s="662"/>
      <c r="AK56" s="768"/>
      <c r="AL56" s="676">
        <v>1000000</v>
      </c>
      <c r="AM56" s="676">
        <f t="shared" si="10"/>
        <v>0</v>
      </c>
      <c r="AN56" s="870" t="s">
        <v>503</v>
      </c>
    </row>
    <row r="57" spans="1:40" s="379" customFormat="1" ht="21.75" thickBot="1" x14ac:dyDescent="0.4">
      <c r="A57" s="868" t="s">
        <v>25</v>
      </c>
      <c r="B57" s="864">
        <v>167772427</v>
      </c>
      <c r="C57" s="923" t="s">
        <v>504</v>
      </c>
      <c r="D57" s="882" t="s">
        <v>391</v>
      </c>
      <c r="E57" s="672"/>
      <c r="F57" s="816"/>
      <c r="G57" s="816"/>
      <c r="H57" s="816"/>
      <c r="I57" s="672"/>
      <c r="J57" s="673"/>
      <c r="K57" s="674"/>
      <c r="L57" s="662"/>
      <c r="M57" s="1127">
        <f>AD57-AL57</f>
        <v>0</v>
      </c>
      <c r="N57" s="662"/>
      <c r="O57" s="662"/>
      <c r="P57" s="662"/>
      <c r="Q57" s="662"/>
      <c r="R57" s="662"/>
      <c r="S57" s="662"/>
      <c r="T57" s="662"/>
      <c r="U57" s="855"/>
      <c r="V57" s="672"/>
      <c r="W57" s="672"/>
      <c r="X57" s="672"/>
      <c r="Y57" s="672"/>
      <c r="Z57" s="693"/>
      <c r="AA57" s="672"/>
      <c r="AB57" s="674"/>
      <c r="AC57" s="662"/>
      <c r="AD57" s="662">
        <v>20000</v>
      </c>
      <c r="AE57" s="662"/>
      <c r="AF57" s="662"/>
      <c r="AG57" s="662"/>
      <c r="AH57" s="662"/>
      <c r="AI57" s="662"/>
      <c r="AJ57" s="662"/>
      <c r="AK57" s="768"/>
      <c r="AL57" s="676">
        <v>20000</v>
      </c>
      <c r="AM57" s="1027">
        <f t="shared" si="10"/>
        <v>0</v>
      </c>
      <c r="AN57" s="870" t="s">
        <v>511</v>
      </c>
    </row>
    <row r="58" spans="1:40" s="379" customFormat="1" ht="21.75" thickBot="1" x14ac:dyDescent="0.4">
      <c r="A58" s="444"/>
      <c r="B58" s="445" t="s">
        <v>24</v>
      </c>
      <c r="C58" s="446"/>
      <c r="D58" s="447"/>
      <c r="E58" s="1135">
        <f>SUM(E6:E57)</f>
        <v>0</v>
      </c>
      <c r="F58" s="448">
        <f t="shared" ref="F58:J58" si="11">SUM(F6:F55)</f>
        <v>0</v>
      </c>
      <c r="G58" s="448">
        <f t="shared" si="11"/>
        <v>0</v>
      </c>
      <c r="H58" s="448">
        <f t="shared" si="11"/>
        <v>2160</v>
      </c>
      <c r="I58" s="448">
        <f t="shared" si="11"/>
        <v>2160</v>
      </c>
      <c r="J58" s="449">
        <f t="shared" si="11"/>
        <v>4320</v>
      </c>
      <c r="K58" s="1112">
        <f>SUM(K56)</f>
        <v>0</v>
      </c>
      <c r="L58" s="468">
        <f>SUM(L6:L55)</f>
        <v>0</v>
      </c>
      <c r="M58" s="448">
        <f>SUM(M6:M57)</f>
        <v>0</v>
      </c>
      <c r="N58" s="448">
        <f t="shared" ref="N58:T58" si="12">SUM(N6:N55)</f>
        <v>0</v>
      </c>
      <c r="O58" s="448">
        <f t="shared" si="12"/>
        <v>0</v>
      </c>
      <c r="P58" s="448">
        <f t="shared" si="12"/>
        <v>0</v>
      </c>
      <c r="Q58" s="448">
        <f t="shared" si="12"/>
        <v>0</v>
      </c>
      <c r="R58" s="448">
        <f t="shared" si="12"/>
        <v>0</v>
      </c>
      <c r="S58" s="448">
        <f t="shared" si="12"/>
        <v>0</v>
      </c>
      <c r="T58" s="448">
        <f t="shared" si="12"/>
        <v>0</v>
      </c>
      <c r="U58" s="855"/>
      <c r="V58" s="448">
        <f t="shared" ref="V58:AA58" si="13">SUM(V6:V55)</f>
        <v>1475000</v>
      </c>
      <c r="W58" s="448">
        <f t="shared" si="13"/>
        <v>189050</v>
      </c>
      <c r="X58" s="448">
        <f t="shared" si="13"/>
        <v>147200</v>
      </c>
      <c r="Y58" s="448">
        <f t="shared" si="13"/>
        <v>124830</v>
      </c>
      <c r="Z58" s="448">
        <f t="shared" si="13"/>
        <v>118710</v>
      </c>
      <c r="AA58" s="449">
        <f t="shared" si="13"/>
        <v>476140</v>
      </c>
      <c r="AB58" s="448">
        <f>SUM(AB6:AB56)</f>
        <v>11144500</v>
      </c>
      <c r="AC58" s="448">
        <f>SUM(AC6:AC55)</f>
        <v>1121800</v>
      </c>
      <c r="AD58" s="448">
        <f>SUM(AD6:AD57)</f>
        <v>80000</v>
      </c>
      <c r="AE58" s="448">
        <f>SUM(AE6:AE55)</f>
        <v>100000</v>
      </c>
      <c r="AF58" s="448">
        <f t="shared" ref="AF58:AK58" si="14">SUM(AF6:AF55)</f>
        <v>22319</v>
      </c>
      <c r="AG58" s="448">
        <f t="shared" si="14"/>
        <v>1760</v>
      </c>
      <c r="AH58" s="448">
        <f t="shared" si="14"/>
        <v>296400</v>
      </c>
      <c r="AI58" s="448">
        <f t="shared" si="14"/>
        <v>0</v>
      </c>
      <c r="AJ58" s="448">
        <f t="shared" si="14"/>
        <v>0</v>
      </c>
      <c r="AK58" s="448">
        <f t="shared" si="14"/>
        <v>22284</v>
      </c>
      <c r="AL58" s="448"/>
      <c r="AM58" s="448">
        <f>SUM(AM6:AM57)</f>
        <v>4320</v>
      </c>
      <c r="AN58" s="452"/>
    </row>
    <row r="59" spans="1:40" s="381" customFormat="1" ht="21.75" thickBot="1" x14ac:dyDescent="0.4">
      <c r="A59" s="868" t="s">
        <v>26</v>
      </c>
      <c r="B59" s="864">
        <v>935</v>
      </c>
      <c r="C59" s="865" t="s">
        <v>151</v>
      </c>
      <c r="D59" s="867" t="s">
        <v>152</v>
      </c>
      <c r="E59" s="671">
        <v>0</v>
      </c>
      <c r="F59" s="816">
        <v>0</v>
      </c>
      <c r="G59" s="672">
        <v>0</v>
      </c>
      <c r="H59" s="672">
        <v>0</v>
      </c>
      <c r="I59" s="672">
        <v>0</v>
      </c>
      <c r="J59" s="673">
        <f t="shared" ref="J59:J74" si="15">SUM(F59:I59)</f>
        <v>0</v>
      </c>
      <c r="K59" s="674">
        <v>0</v>
      </c>
      <c r="L59" s="662">
        <v>0</v>
      </c>
      <c r="M59" s="662">
        <v>0</v>
      </c>
      <c r="N59" s="662">
        <v>0</v>
      </c>
      <c r="O59" s="662"/>
      <c r="P59" s="662">
        <v>0</v>
      </c>
      <c r="Q59" s="662">
        <v>0</v>
      </c>
      <c r="R59" s="662">
        <v>0</v>
      </c>
      <c r="S59" s="662">
        <v>0</v>
      </c>
      <c r="T59" s="662">
        <v>0</v>
      </c>
      <c r="U59" s="855"/>
      <c r="V59" s="671">
        <v>0</v>
      </c>
      <c r="W59" s="672">
        <v>0</v>
      </c>
      <c r="X59" s="672">
        <v>0</v>
      </c>
      <c r="Y59" s="672">
        <v>0</v>
      </c>
      <c r="Z59" s="672">
        <v>0</v>
      </c>
      <c r="AA59" s="672">
        <f t="shared" ref="AA59:AA74" si="16">SUM(W59:Z59)</f>
        <v>0</v>
      </c>
      <c r="AB59" s="674">
        <v>0</v>
      </c>
      <c r="AC59" s="662">
        <v>0</v>
      </c>
      <c r="AD59" s="662">
        <v>0</v>
      </c>
      <c r="AE59" s="662">
        <v>0</v>
      </c>
      <c r="AF59" s="662">
        <v>3575</v>
      </c>
      <c r="AG59" s="662">
        <v>0</v>
      </c>
      <c r="AH59" s="662">
        <v>0</v>
      </c>
      <c r="AI59" s="662">
        <v>0</v>
      </c>
      <c r="AJ59" s="662">
        <v>0</v>
      </c>
      <c r="AK59" s="662">
        <v>0</v>
      </c>
      <c r="AL59" s="681">
        <v>3575</v>
      </c>
      <c r="AM59" s="808">
        <f t="shared" ref="AM59:AM69" si="17">(V59+W59+X59+Y59+Z59+AB59+AC59+AD59+AE59+AF59+AG59+AH59+AI59+AJ59+AK59)-AL59</f>
        <v>0</v>
      </c>
      <c r="AN59" s="872" t="s">
        <v>472</v>
      </c>
    </row>
    <row r="60" spans="1:40" s="379" customFormat="1" ht="21.75" thickBot="1" x14ac:dyDescent="0.4">
      <c r="A60" s="667" t="s">
        <v>26</v>
      </c>
      <c r="B60" s="668">
        <v>1000</v>
      </c>
      <c r="C60" s="669" t="s">
        <v>160</v>
      </c>
      <c r="D60" s="679" t="s">
        <v>162</v>
      </c>
      <c r="E60" s="671"/>
      <c r="F60" s="816"/>
      <c r="G60" s="672"/>
      <c r="H60" s="672"/>
      <c r="I60" s="672"/>
      <c r="J60" s="673">
        <f t="shared" si="15"/>
        <v>0</v>
      </c>
      <c r="K60" s="674"/>
      <c r="L60" s="661"/>
      <c r="M60" s="661"/>
      <c r="N60" s="661"/>
      <c r="O60" s="661">
        <f>AF60-AL60</f>
        <v>0</v>
      </c>
      <c r="P60" s="661"/>
      <c r="Q60" s="661"/>
      <c r="R60" s="661"/>
      <c r="S60" s="661"/>
      <c r="T60" s="661"/>
      <c r="U60" s="855"/>
      <c r="V60" s="671"/>
      <c r="W60" s="672"/>
      <c r="X60" s="672"/>
      <c r="Y60" s="672"/>
      <c r="Z60" s="672"/>
      <c r="AA60" s="673">
        <f t="shared" si="16"/>
        <v>0</v>
      </c>
      <c r="AB60" s="674"/>
      <c r="AC60" s="661"/>
      <c r="AD60" s="661"/>
      <c r="AE60" s="661"/>
      <c r="AF60" s="661">
        <v>5960</v>
      </c>
      <c r="AG60" s="661"/>
      <c r="AH60" s="661"/>
      <c r="AI60" s="661"/>
      <c r="AJ60" s="661"/>
      <c r="AK60" s="661"/>
      <c r="AL60" s="681">
        <v>5960</v>
      </c>
      <c r="AM60" s="677">
        <f t="shared" si="17"/>
        <v>0</v>
      </c>
      <c r="AN60" s="725" t="s">
        <v>296</v>
      </c>
    </row>
    <row r="61" spans="1:40" s="379" customFormat="1" ht="21.75" thickBot="1" x14ac:dyDescent="0.4">
      <c r="A61" s="863" t="s">
        <v>26</v>
      </c>
      <c r="B61" s="864">
        <v>1001</v>
      </c>
      <c r="C61" s="865" t="s">
        <v>160</v>
      </c>
      <c r="D61" s="867" t="s">
        <v>162</v>
      </c>
      <c r="E61" s="671"/>
      <c r="F61" s="816"/>
      <c r="G61" s="672"/>
      <c r="H61" s="672"/>
      <c r="I61" s="672"/>
      <c r="J61" s="673">
        <f t="shared" si="15"/>
        <v>0</v>
      </c>
      <c r="K61" s="674"/>
      <c r="L61" s="661"/>
      <c r="M61" s="661"/>
      <c r="N61" s="661"/>
      <c r="O61" s="661"/>
      <c r="P61" s="661"/>
      <c r="Q61" s="661"/>
      <c r="R61" s="661"/>
      <c r="S61" s="661"/>
      <c r="T61" s="661">
        <f>AK61-AL61</f>
        <v>0</v>
      </c>
      <c r="U61" s="855"/>
      <c r="V61" s="671"/>
      <c r="W61" s="672"/>
      <c r="X61" s="672"/>
      <c r="Y61" s="672"/>
      <c r="Z61" s="672"/>
      <c r="AA61" s="673">
        <f t="shared" si="16"/>
        <v>0</v>
      </c>
      <c r="AB61" s="674"/>
      <c r="AC61" s="661"/>
      <c r="AD61" s="661"/>
      <c r="AE61" s="661"/>
      <c r="AF61" s="661"/>
      <c r="AG61" s="661"/>
      <c r="AH61" s="661"/>
      <c r="AI61" s="661"/>
      <c r="AJ61" s="661"/>
      <c r="AK61" s="661">
        <v>4860</v>
      </c>
      <c r="AL61" s="1038">
        <v>4860</v>
      </c>
      <c r="AM61" s="677">
        <f t="shared" si="17"/>
        <v>0</v>
      </c>
      <c r="AN61" s="1037" t="s">
        <v>472</v>
      </c>
    </row>
    <row r="62" spans="1:40" s="379" customFormat="1" ht="21.75" thickBot="1" x14ac:dyDescent="0.4">
      <c r="A62" s="863" t="s">
        <v>26</v>
      </c>
      <c r="B62" s="864">
        <v>1001</v>
      </c>
      <c r="C62" s="865" t="s">
        <v>160</v>
      </c>
      <c r="D62" s="867" t="s">
        <v>162</v>
      </c>
      <c r="E62" s="671"/>
      <c r="F62" s="816"/>
      <c r="G62" s="672"/>
      <c r="H62" s="672"/>
      <c r="I62" s="672"/>
      <c r="J62" s="673">
        <f t="shared" si="15"/>
        <v>0</v>
      </c>
      <c r="K62" s="674"/>
      <c r="L62" s="661"/>
      <c r="M62" s="661"/>
      <c r="N62" s="661"/>
      <c r="O62" s="661"/>
      <c r="P62" s="661"/>
      <c r="Q62" s="661">
        <f>AH62-AL62</f>
        <v>0</v>
      </c>
      <c r="R62" s="661"/>
      <c r="S62" s="661"/>
      <c r="T62" s="661"/>
      <c r="U62" s="855"/>
      <c r="V62" s="671"/>
      <c r="W62" s="672"/>
      <c r="X62" s="672"/>
      <c r="Y62" s="672"/>
      <c r="Z62" s="672"/>
      <c r="AA62" s="673">
        <f t="shared" si="16"/>
        <v>0</v>
      </c>
      <c r="AB62" s="674"/>
      <c r="AC62" s="661"/>
      <c r="AD62" s="661"/>
      <c r="AE62" s="661"/>
      <c r="AF62" s="661"/>
      <c r="AG62" s="661"/>
      <c r="AH62" s="661">
        <v>77100</v>
      </c>
      <c r="AI62" s="661"/>
      <c r="AJ62" s="661"/>
      <c r="AK62" s="661"/>
      <c r="AL62" s="1038">
        <v>77100</v>
      </c>
      <c r="AM62" s="677">
        <f t="shared" si="17"/>
        <v>0</v>
      </c>
      <c r="AN62" s="1037" t="s">
        <v>472</v>
      </c>
    </row>
    <row r="63" spans="1:40" s="379" customFormat="1" ht="21.75" thickBot="1" x14ac:dyDescent="0.4">
      <c r="A63" s="868" t="s">
        <v>26</v>
      </c>
      <c r="B63" s="864">
        <v>1024</v>
      </c>
      <c r="C63" s="865" t="s">
        <v>178</v>
      </c>
      <c r="D63" s="866" t="s">
        <v>179</v>
      </c>
      <c r="E63" s="671">
        <f>V63-AL63</f>
        <v>0</v>
      </c>
      <c r="F63" s="816">
        <v>0</v>
      </c>
      <c r="G63" s="672">
        <v>0</v>
      </c>
      <c r="H63" s="672">
        <f>Y63-AO192</f>
        <v>0</v>
      </c>
      <c r="I63" s="672">
        <f>Z63-AP192</f>
        <v>0</v>
      </c>
      <c r="J63" s="673">
        <f t="shared" si="15"/>
        <v>0</v>
      </c>
      <c r="K63" s="674">
        <f>AB63-AR192</f>
        <v>0</v>
      </c>
      <c r="L63" s="662"/>
      <c r="M63" s="662"/>
      <c r="N63" s="662"/>
      <c r="O63" s="662"/>
      <c r="P63" s="662"/>
      <c r="Q63" s="662"/>
      <c r="R63" s="662"/>
      <c r="S63" s="662"/>
      <c r="T63" s="662"/>
      <c r="U63" s="855"/>
      <c r="V63" s="671">
        <v>187500</v>
      </c>
      <c r="W63" s="672"/>
      <c r="X63" s="672"/>
      <c r="Y63" s="672"/>
      <c r="Z63" s="672"/>
      <c r="AA63" s="673">
        <f t="shared" si="16"/>
        <v>0</v>
      </c>
      <c r="AB63" s="674"/>
      <c r="AC63" s="662"/>
      <c r="AD63" s="662"/>
      <c r="AE63" s="662"/>
      <c r="AF63" s="662"/>
      <c r="AG63" s="662"/>
      <c r="AH63" s="662"/>
      <c r="AI63" s="662"/>
      <c r="AJ63" s="662"/>
      <c r="AK63" s="662"/>
      <c r="AL63" s="681">
        <f>120000+48750+15000+3750</f>
        <v>187500</v>
      </c>
      <c r="AM63" s="808">
        <f t="shared" si="17"/>
        <v>0</v>
      </c>
      <c r="AN63" s="872" t="s">
        <v>383</v>
      </c>
    </row>
    <row r="64" spans="1:40" s="379" customFormat="1" ht="21.75" thickBot="1" x14ac:dyDescent="0.4">
      <c r="A64" s="868" t="s">
        <v>26</v>
      </c>
      <c r="B64" s="864">
        <v>3212</v>
      </c>
      <c r="C64" s="865" t="s">
        <v>190</v>
      </c>
      <c r="D64" s="866" t="s">
        <v>188</v>
      </c>
      <c r="E64" s="671">
        <v>0</v>
      </c>
      <c r="F64" s="816">
        <v>0</v>
      </c>
      <c r="G64" s="672">
        <f>X64-AL64</f>
        <v>0</v>
      </c>
      <c r="H64" s="672">
        <f>Y64-AO194</f>
        <v>0</v>
      </c>
      <c r="I64" s="672">
        <f>Z64-AP194</f>
        <v>0</v>
      </c>
      <c r="J64" s="673">
        <f t="shared" si="15"/>
        <v>0</v>
      </c>
      <c r="K64" s="674">
        <f>AB64-AR194</f>
        <v>0</v>
      </c>
      <c r="L64" s="662"/>
      <c r="M64" s="662"/>
      <c r="N64" s="662"/>
      <c r="O64" s="662"/>
      <c r="P64" s="662"/>
      <c r="Q64" s="662"/>
      <c r="R64" s="662"/>
      <c r="S64" s="662"/>
      <c r="T64" s="662"/>
      <c r="U64" s="855"/>
      <c r="V64" s="672"/>
      <c r="W64" s="672"/>
      <c r="X64" s="672">
        <v>11700</v>
      </c>
      <c r="Y64" s="672"/>
      <c r="Z64" s="672"/>
      <c r="AA64" s="673">
        <f t="shared" si="16"/>
        <v>11700</v>
      </c>
      <c r="AB64" s="674"/>
      <c r="AC64" s="662"/>
      <c r="AD64" s="662"/>
      <c r="AE64" s="662"/>
      <c r="AF64" s="662"/>
      <c r="AG64" s="662"/>
      <c r="AH64" s="662"/>
      <c r="AI64" s="662"/>
      <c r="AJ64" s="662"/>
      <c r="AK64" s="662"/>
      <c r="AL64" s="681">
        <v>11700</v>
      </c>
      <c r="AM64" s="808">
        <f t="shared" si="17"/>
        <v>0</v>
      </c>
      <c r="AN64" s="872" t="s">
        <v>305</v>
      </c>
    </row>
    <row r="65" spans="1:40" s="379" customFormat="1" ht="21.75" thickBot="1" x14ac:dyDescent="0.4">
      <c r="A65" s="863" t="s">
        <v>26</v>
      </c>
      <c r="B65" s="864">
        <v>3212</v>
      </c>
      <c r="C65" s="865" t="s">
        <v>190</v>
      </c>
      <c r="D65" s="866" t="s">
        <v>188</v>
      </c>
      <c r="E65" s="671">
        <v>0</v>
      </c>
      <c r="F65" s="816">
        <v>0</v>
      </c>
      <c r="G65" s="672">
        <v>0</v>
      </c>
      <c r="H65" s="672">
        <f>Y65-AL65</f>
        <v>0</v>
      </c>
      <c r="I65" s="672"/>
      <c r="J65" s="673">
        <f t="shared" si="15"/>
        <v>0</v>
      </c>
      <c r="K65" s="674"/>
      <c r="L65" s="661"/>
      <c r="M65" s="661"/>
      <c r="N65" s="661"/>
      <c r="O65" s="661"/>
      <c r="P65" s="661"/>
      <c r="Q65" s="661"/>
      <c r="R65" s="661"/>
      <c r="S65" s="661"/>
      <c r="T65" s="661"/>
      <c r="U65" s="855"/>
      <c r="V65" s="672"/>
      <c r="W65" s="672"/>
      <c r="X65" s="672"/>
      <c r="Y65" s="672">
        <v>21240</v>
      </c>
      <c r="Z65" s="672"/>
      <c r="AA65" s="673">
        <f t="shared" si="16"/>
        <v>21240</v>
      </c>
      <c r="AB65" s="674"/>
      <c r="AC65" s="661"/>
      <c r="AD65" s="661"/>
      <c r="AE65" s="661"/>
      <c r="AF65" s="661"/>
      <c r="AG65" s="661"/>
      <c r="AH65" s="661"/>
      <c r="AI65" s="661"/>
      <c r="AJ65" s="661"/>
      <c r="AK65" s="661"/>
      <c r="AL65" s="681">
        <v>21240</v>
      </c>
      <c r="AM65" s="677">
        <f t="shared" si="17"/>
        <v>0</v>
      </c>
      <c r="AN65" s="924" t="s">
        <v>361</v>
      </c>
    </row>
    <row r="66" spans="1:40" s="379" customFormat="1" ht="21.75" thickBot="1" x14ac:dyDescent="0.4">
      <c r="A66" s="868" t="s">
        <v>26</v>
      </c>
      <c r="B66" s="864">
        <v>3212</v>
      </c>
      <c r="C66" s="865" t="s">
        <v>190</v>
      </c>
      <c r="D66" s="866" t="s">
        <v>188</v>
      </c>
      <c r="E66" s="671">
        <v>0</v>
      </c>
      <c r="F66" s="816">
        <v>0</v>
      </c>
      <c r="G66" s="672">
        <v>0</v>
      </c>
      <c r="H66" s="672">
        <f>Y66-AL66</f>
        <v>0</v>
      </c>
      <c r="I66" s="672"/>
      <c r="J66" s="673">
        <f t="shared" si="15"/>
        <v>0</v>
      </c>
      <c r="K66" s="674">
        <f>AB66-AR195</f>
        <v>0</v>
      </c>
      <c r="L66" s="662"/>
      <c r="M66" s="662"/>
      <c r="N66" s="662"/>
      <c r="O66" s="662"/>
      <c r="P66" s="662"/>
      <c r="Q66" s="662"/>
      <c r="R66" s="662"/>
      <c r="S66" s="662"/>
      <c r="T66" s="662"/>
      <c r="U66" s="855"/>
      <c r="V66" s="672"/>
      <c r="W66" s="672"/>
      <c r="X66" s="672"/>
      <c r="Y66" s="672">
        <v>21240</v>
      </c>
      <c r="Z66" s="672">
        <v>0</v>
      </c>
      <c r="AA66" s="673">
        <f t="shared" si="16"/>
        <v>21240</v>
      </c>
      <c r="AB66" s="674"/>
      <c r="AC66" s="662"/>
      <c r="AD66" s="662"/>
      <c r="AE66" s="662"/>
      <c r="AF66" s="662"/>
      <c r="AG66" s="662"/>
      <c r="AH66" s="662"/>
      <c r="AI66" s="662"/>
      <c r="AJ66" s="662"/>
      <c r="AK66" s="662"/>
      <c r="AL66" s="681">
        <f>13530+7710</f>
        <v>21240</v>
      </c>
      <c r="AM66" s="808">
        <f t="shared" si="17"/>
        <v>0</v>
      </c>
      <c r="AN66" s="872" t="s">
        <v>304</v>
      </c>
    </row>
    <row r="67" spans="1:40" s="379" customFormat="1" ht="21.75" thickBot="1" x14ac:dyDescent="0.4">
      <c r="A67" s="714" t="s">
        <v>26</v>
      </c>
      <c r="B67" s="715">
        <v>3235</v>
      </c>
      <c r="C67" s="716" t="s">
        <v>190</v>
      </c>
      <c r="D67" s="717" t="s">
        <v>188</v>
      </c>
      <c r="E67" s="718">
        <v>0</v>
      </c>
      <c r="F67" s="819">
        <v>0</v>
      </c>
      <c r="G67" s="719">
        <v>0</v>
      </c>
      <c r="H67" s="719">
        <f>Y67-AO196</f>
        <v>0</v>
      </c>
      <c r="I67" s="719">
        <f>Z67-AL67</f>
        <v>0</v>
      </c>
      <c r="J67" s="720">
        <f t="shared" si="15"/>
        <v>0</v>
      </c>
      <c r="K67" s="721">
        <f>AB67-AR194</f>
        <v>0</v>
      </c>
      <c r="L67" s="722"/>
      <c r="M67" s="722"/>
      <c r="N67" s="722"/>
      <c r="O67" s="722"/>
      <c r="P67" s="722"/>
      <c r="Q67" s="722"/>
      <c r="R67" s="722"/>
      <c r="S67" s="722"/>
      <c r="T67" s="722"/>
      <c r="U67" s="855"/>
      <c r="V67" s="719"/>
      <c r="W67" s="719"/>
      <c r="X67" s="719"/>
      <c r="Y67" s="719"/>
      <c r="Z67" s="719">
        <v>21240</v>
      </c>
      <c r="AA67" s="720">
        <f t="shared" si="16"/>
        <v>21240</v>
      </c>
      <c r="AB67" s="721"/>
      <c r="AC67" s="722"/>
      <c r="AD67" s="722"/>
      <c r="AE67" s="722"/>
      <c r="AF67" s="722"/>
      <c r="AG67" s="722"/>
      <c r="AH67" s="722"/>
      <c r="AI67" s="722"/>
      <c r="AJ67" s="722"/>
      <c r="AK67" s="722"/>
      <c r="AL67" s="723">
        <v>21240</v>
      </c>
      <c r="AM67" s="724">
        <f t="shared" si="17"/>
        <v>0</v>
      </c>
      <c r="AN67" s="726" t="s">
        <v>270</v>
      </c>
    </row>
    <row r="68" spans="1:40" s="381" customFormat="1" ht="21.75" thickBot="1" x14ac:dyDescent="0.4">
      <c r="A68" s="714" t="s">
        <v>26</v>
      </c>
      <c r="B68" s="715">
        <v>3235</v>
      </c>
      <c r="C68" s="716" t="s">
        <v>197</v>
      </c>
      <c r="D68" s="717" t="s">
        <v>196</v>
      </c>
      <c r="E68" s="718">
        <v>0</v>
      </c>
      <c r="F68" s="819">
        <v>0</v>
      </c>
      <c r="G68" s="719">
        <v>0</v>
      </c>
      <c r="H68" s="719">
        <f>Y68-AL68</f>
        <v>0</v>
      </c>
      <c r="I68" s="719">
        <f>Z68-AP198</f>
        <v>0</v>
      </c>
      <c r="J68" s="720">
        <f t="shared" si="15"/>
        <v>0</v>
      </c>
      <c r="K68" s="721">
        <f>AB68-AR196</f>
        <v>0</v>
      </c>
      <c r="L68" s="722"/>
      <c r="M68" s="722"/>
      <c r="N68" s="722"/>
      <c r="O68" s="722"/>
      <c r="P68" s="722"/>
      <c r="Q68" s="722"/>
      <c r="R68" s="722"/>
      <c r="S68" s="722"/>
      <c r="T68" s="722"/>
      <c r="U68" s="855"/>
      <c r="V68" s="719"/>
      <c r="W68" s="719"/>
      <c r="X68" s="719"/>
      <c r="Y68" s="719">
        <v>7710</v>
      </c>
      <c r="Z68" s="719"/>
      <c r="AA68" s="720">
        <f t="shared" si="16"/>
        <v>7710</v>
      </c>
      <c r="AB68" s="721"/>
      <c r="AC68" s="722"/>
      <c r="AD68" s="722"/>
      <c r="AE68" s="722"/>
      <c r="AF68" s="722"/>
      <c r="AG68" s="722"/>
      <c r="AH68" s="722"/>
      <c r="AI68" s="722"/>
      <c r="AJ68" s="722"/>
      <c r="AK68" s="722"/>
      <c r="AL68" s="723">
        <v>7710</v>
      </c>
      <c r="AM68" s="724">
        <f t="shared" si="17"/>
        <v>0</v>
      </c>
      <c r="AN68" s="726" t="s">
        <v>271</v>
      </c>
    </row>
    <row r="69" spans="1:40" s="379" customFormat="1" ht="21.75" thickBot="1" x14ac:dyDescent="0.4">
      <c r="A69" s="714" t="s">
        <v>26</v>
      </c>
      <c r="B69" s="715">
        <v>3235</v>
      </c>
      <c r="C69" s="716" t="s">
        <v>197</v>
      </c>
      <c r="D69" s="717" t="s">
        <v>196</v>
      </c>
      <c r="E69" s="718">
        <v>0</v>
      </c>
      <c r="F69" s="819">
        <v>0</v>
      </c>
      <c r="G69" s="719">
        <f>X69-AL69</f>
        <v>0</v>
      </c>
      <c r="H69" s="719">
        <f>Y69-AO197</f>
        <v>0</v>
      </c>
      <c r="I69" s="719">
        <f>Z69-AP197</f>
        <v>0</v>
      </c>
      <c r="J69" s="720">
        <f t="shared" si="15"/>
        <v>0</v>
      </c>
      <c r="K69" s="721">
        <f>AB69-AR197</f>
        <v>0</v>
      </c>
      <c r="L69" s="722"/>
      <c r="M69" s="722"/>
      <c r="N69" s="722"/>
      <c r="O69" s="722"/>
      <c r="P69" s="722"/>
      <c r="Q69" s="722"/>
      <c r="R69" s="722"/>
      <c r="S69" s="722"/>
      <c r="T69" s="722"/>
      <c r="U69" s="855"/>
      <c r="V69" s="719"/>
      <c r="W69" s="719"/>
      <c r="X69" s="719">
        <v>11700</v>
      </c>
      <c r="Y69" s="719"/>
      <c r="Z69" s="719"/>
      <c r="AA69" s="720">
        <f t="shared" si="16"/>
        <v>11700</v>
      </c>
      <c r="AB69" s="721"/>
      <c r="AC69" s="722"/>
      <c r="AD69" s="722"/>
      <c r="AE69" s="722"/>
      <c r="AF69" s="722"/>
      <c r="AG69" s="722"/>
      <c r="AH69" s="722"/>
      <c r="AI69" s="722"/>
      <c r="AJ69" s="722"/>
      <c r="AK69" s="722"/>
      <c r="AL69" s="723">
        <v>11700</v>
      </c>
      <c r="AM69" s="724">
        <f t="shared" si="17"/>
        <v>0</v>
      </c>
      <c r="AN69" s="726" t="s">
        <v>269</v>
      </c>
    </row>
    <row r="70" spans="1:40" s="381" customFormat="1" ht="21.75" thickBot="1" x14ac:dyDescent="0.4">
      <c r="A70" s="714" t="s">
        <v>26</v>
      </c>
      <c r="B70" s="715">
        <v>3266</v>
      </c>
      <c r="C70" s="716" t="s">
        <v>201</v>
      </c>
      <c r="D70" s="717" t="s">
        <v>196</v>
      </c>
      <c r="E70" s="718"/>
      <c r="F70" s="819"/>
      <c r="G70" s="719"/>
      <c r="H70" s="719"/>
      <c r="I70" s="719"/>
      <c r="J70" s="720">
        <f t="shared" si="15"/>
        <v>0</v>
      </c>
      <c r="K70" s="721">
        <f>AB70-AL70</f>
        <v>0</v>
      </c>
      <c r="L70" s="722"/>
      <c r="M70" s="722"/>
      <c r="N70" s="722"/>
      <c r="O70" s="722"/>
      <c r="P70" s="722"/>
      <c r="Q70" s="722"/>
      <c r="R70" s="722"/>
      <c r="S70" s="722"/>
      <c r="T70" s="722"/>
      <c r="U70" s="855"/>
      <c r="V70" s="719"/>
      <c r="W70" s="719"/>
      <c r="X70" s="719"/>
      <c r="Y70" s="719"/>
      <c r="Z70" s="719"/>
      <c r="AA70" s="720">
        <f t="shared" si="16"/>
        <v>0</v>
      </c>
      <c r="AB70" s="721">
        <v>500000</v>
      </c>
      <c r="AC70" s="722"/>
      <c r="AD70" s="722"/>
      <c r="AE70" s="722"/>
      <c r="AF70" s="722"/>
      <c r="AG70" s="722"/>
      <c r="AH70" s="722"/>
      <c r="AI70" s="722"/>
      <c r="AJ70" s="722"/>
      <c r="AK70" s="722"/>
      <c r="AL70" s="723">
        <v>500000</v>
      </c>
      <c r="AM70" s="724">
        <f t="shared" ref="AM70:AM95" si="18">(V70+W70+X70+Y70+Z70+AB70+AC70+AD70+AE70+AF70+AG70+AH70+AI70+AJ70+AK70)-AL70</f>
        <v>0</v>
      </c>
      <c r="AN70" s="726" t="s">
        <v>277</v>
      </c>
    </row>
    <row r="71" spans="1:40" s="381" customFormat="1" ht="21.75" thickBot="1" x14ac:dyDescent="0.4">
      <c r="A71" s="868" t="s">
        <v>26</v>
      </c>
      <c r="B71" s="864">
        <v>3266</v>
      </c>
      <c r="C71" s="865" t="s">
        <v>201</v>
      </c>
      <c r="D71" s="866" t="s">
        <v>196</v>
      </c>
      <c r="E71" s="671"/>
      <c r="F71" s="816">
        <f>W71-AL71</f>
        <v>0</v>
      </c>
      <c r="G71" s="672"/>
      <c r="H71" s="672"/>
      <c r="I71" s="672"/>
      <c r="J71" s="673">
        <f t="shared" si="15"/>
        <v>0</v>
      </c>
      <c r="K71" s="674">
        <v>0</v>
      </c>
      <c r="L71" s="662"/>
      <c r="M71" s="662"/>
      <c r="N71" s="662"/>
      <c r="O71" s="662"/>
      <c r="P71" s="662"/>
      <c r="Q71" s="662"/>
      <c r="R71" s="662"/>
      <c r="S71" s="662"/>
      <c r="T71" s="662"/>
      <c r="U71" s="855"/>
      <c r="V71" s="672"/>
      <c r="W71" s="672">
        <v>25500</v>
      </c>
      <c r="X71" s="672"/>
      <c r="Y71" s="672"/>
      <c r="Z71" s="672"/>
      <c r="AA71" s="673">
        <f t="shared" si="16"/>
        <v>25500</v>
      </c>
      <c r="AB71" s="674"/>
      <c r="AC71" s="662"/>
      <c r="AD71" s="662"/>
      <c r="AE71" s="662"/>
      <c r="AF71" s="662"/>
      <c r="AG71" s="662"/>
      <c r="AH71" s="662"/>
      <c r="AI71" s="662"/>
      <c r="AJ71" s="662"/>
      <c r="AK71" s="662"/>
      <c r="AL71" s="681">
        <v>25500</v>
      </c>
      <c r="AM71" s="808">
        <f t="shared" si="18"/>
        <v>0</v>
      </c>
      <c r="AN71" s="872" t="s">
        <v>337</v>
      </c>
    </row>
    <row r="72" spans="1:40" s="381" customFormat="1" ht="21.75" thickBot="1" x14ac:dyDescent="0.4">
      <c r="A72" s="868" t="s">
        <v>26</v>
      </c>
      <c r="B72" s="864">
        <v>3266</v>
      </c>
      <c r="C72" s="865" t="s">
        <v>201</v>
      </c>
      <c r="D72" s="866" t="s">
        <v>196</v>
      </c>
      <c r="E72" s="671"/>
      <c r="F72" s="816"/>
      <c r="G72" s="672">
        <f>X72-AL72</f>
        <v>0</v>
      </c>
      <c r="H72" s="672"/>
      <c r="I72" s="672"/>
      <c r="J72" s="673">
        <f t="shared" si="15"/>
        <v>0</v>
      </c>
      <c r="K72" s="674">
        <v>0</v>
      </c>
      <c r="L72" s="662"/>
      <c r="M72" s="662"/>
      <c r="N72" s="662"/>
      <c r="O72" s="662"/>
      <c r="P72" s="662"/>
      <c r="Q72" s="662"/>
      <c r="R72" s="662"/>
      <c r="S72" s="662"/>
      <c r="T72" s="662"/>
      <c r="U72" s="855"/>
      <c r="V72" s="672"/>
      <c r="W72" s="672"/>
      <c r="X72" s="672">
        <v>24000</v>
      </c>
      <c r="Y72" s="672"/>
      <c r="Z72" s="672"/>
      <c r="AA72" s="673">
        <f t="shared" si="16"/>
        <v>24000</v>
      </c>
      <c r="AB72" s="674"/>
      <c r="AC72" s="662"/>
      <c r="AD72" s="662"/>
      <c r="AE72" s="662"/>
      <c r="AF72" s="662"/>
      <c r="AG72" s="662"/>
      <c r="AH72" s="662"/>
      <c r="AI72" s="662"/>
      <c r="AJ72" s="662"/>
      <c r="AK72" s="662"/>
      <c r="AL72" s="681">
        <v>24000</v>
      </c>
      <c r="AM72" s="808">
        <f t="shared" si="18"/>
        <v>0</v>
      </c>
      <c r="AN72" s="872" t="s">
        <v>338</v>
      </c>
    </row>
    <row r="73" spans="1:40" s="381" customFormat="1" ht="21.75" thickBot="1" x14ac:dyDescent="0.4">
      <c r="A73" s="868" t="s">
        <v>26</v>
      </c>
      <c r="B73" s="864">
        <v>3266</v>
      </c>
      <c r="C73" s="865" t="s">
        <v>201</v>
      </c>
      <c r="D73" s="866" t="s">
        <v>196</v>
      </c>
      <c r="E73" s="671"/>
      <c r="F73" s="816"/>
      <c r="G73" s="672"/>
      <c r="H73" s="672">
        <f>Y73-AL73</f>
        <v>0</v>
      </c>
      <c r="I73" s="672"/>
      <c r="J73" s="673">
        <f t="shared" si="15"/>
        <v>0</v>
      </c>
      <c r="K73" s="674">
        <v>0</v>
      </c>
      <c r="L73" s="662"/>
      <c r="M73" s="662"/>
      <c r="N73" s="662"/>
      <c r="O73" s="662"/>
      <c r="P73" s="662"/>
      <c r="Q73" s="662"/>
      <c r="R73" s="662"/>
      <c r="S73" s="662"/>
      <c r="T73" s="662"/>
      <c r="U73" s="855"/>
      <c r="V73" s="672"/>
      <c r="W73" s="672"/>
      <c r="X73" s="672"/>
      <c r="Y73" s="672">
        <v>15000</v>
      </c>
      <c r="Z73" s="672"/>
      <c r="AA73" s="673">
        <f t="shared" si="16"/>
        <v>15000</v>
      </c>
      <c r="AB73" s="674"/>
      <c r="AC73" s="662"/>
      <c r="AD73" s="662"/>
      <c r="AE73" s="662"/>
      <c r="AF73" s="662"/>
      <c r="AG73" s="662"/>
      <c r="AH73" s="662"/>
      <c r="AI73" s="662"/>
      <c r="AJ73" s="662"/>
      <c r="AK73" s="662"/>
      <c r="AL73" s="681">
        <v>15000</v>
      </c>
      <c r="AM73" s="808">
        <f t="shared" si="18"/>
        <v>0</v>
      </c>
      <c r="AN73" s="872" t="s">
        <v>339</v>
      </c>
    </row>
    <row r="74" spans="1:40" s="381" customFormat="1" ht="21.75" thickBot="1" x14ac:dyDescent="0.4">
      <c r="A74" s="868" t="s">
        <v>26</v>
      </c>
      <c r="B74" s="864">
        <v>3266</v>
      </c>
      <c r="C74" s="865" t="s">
        <v>201</v>
      </c>
      <c r="D74" s="866" t="s">
        <v>196</v>
      </c>
      <c r="E74" s="671"/>
      <c r="F74" s="816"/>
      <c r="G74" s="672"/>
      <c r="H74" s="672"/>
      <c r="I74" s="672">
        <f>Z74-AL74</f>
        <v>0</v>
      </c>
      <c r="J74" s="673">
        <f t="shared" si="15"/>
        <v>0</v>
      </c>
      <c r="K74" s="674">
        <v>0</v>
      </c>
      <c r="L74" s="662"/>
      <c r="M74" s="662"/>
      <c r="N74" s="662"/>
      <c r="O74" s="662"/>
      <c r="P74" s="662"/>
      <c r="Q74" s="662"/>
      <c r="R74" s="662"/>
      <c r="S74" s="662"/>
      <c r="T74" s="662"/>
      <c r="U74" s="855"/>
      <c r="V74" s="672"/>
      <c r="W74" s="672"/>
      <c r="X74" s="672"/>
      <c r="Y74" s="672"/>
      <c r="Z74" s="672">
        <v>13500</v>
      </c>
      <c r="AA74" s="673">
        <f t="shared" si="16"/>
        <v>13500</v>
      </c>
      <c r="AB74" s="674"/>
      <c r="AC74" s="662"/>
      <c r="AD74" s="662"/>
      <c r="AE74" s="662"/>
      <c r="AF74" s="662"/>
      <c r="AG74" s="662"/>
      <c r="AH74" s="662"/>
      <c r="AI74" s="662"/>
      <c r="AJ74" s="662"/>
      <c r="AK74" s="662"/>
      <c r="AL74" s="681">
        <v>13500</v>
      </c>
      <c r="AM74" s="808">
        <f t="shared" si="18"/>
        <v>0</v>
      </c>
      <c r="AN74" s="872" t="s">
        <v>340</v>
      </c>
    </row>
    <row r="75" spans="1:40" s="381" customFormat="1" ht="22.5" customHeight="1" thickBot="1" x14ac:dyDescent="0.4">
      <c r="A75" s="667" t="s">
        <v>26</v>
      </c>
      <c r="B75" s="668">
        <v>3273</v>
      </c>
      <c r="C75" s="669" t="s">
        <v>206</v>
      </c>
      <c r="D75" s="670" t="s">
        <v>207</v>
      </c>
      <c r="E75" s="671"/>
      <c r="F75" s="816"/>
      <c r="G75" s="672"/>
      <c r="H75" s="672"/>
      <c r="I75" s="672"/>
      <c r="J75" s="673"/>
      <c r="K75" s="674">
        <f t="shared" ref="K75:K80" si="19">AB75-AL75</f>
        <v>0</v>
      </c>
      <c r="L75" s="661"/>
      <c r="M75" s="661"/>
      <c r="N75" s="661"/>
      <c r="O75" s="661"/>
      <c r="P75" s="661"/>
      <c r="Q75" s="661"/>
      <c r="R75" s="661"/>
      <c r="S75" s="661"/>
      <c r="T75" s="661"/>
      <c r="U75" s="855"/>
      <c r="V75" s="672"/>
      <c r="W75" s="672"/>
      <c r="X75" s="672"/>
      <c r="Y75" s="672"/>
      <c r="Z75" s="672"/>
      <c r="AA75" s="673"/>
      <c r="AB75" s="674">
        <v>175000</v>
      </c>
      <c r="AC75" s="661"/>
      <c r="AD75" s="661"/>
      <c r="AE75" s="661"/>
      <c r="AF75" s="661"/>
      <c r="AG75" s="661"/>
      <c r="AH75" s="661"/>
      <c r="AI75" s="661"/>
      <c r="AJ75" s="661"/>
      <c r="AK75" s="661"/>
      <c r="AL75" s="681">
        <v>175000</v>
      </c>
      <c r="AM75" s="677">
        <f t="shared" si="18"/>
        <v>0</v>
      </c>
      <c r="AN75" s="725" t="s">
        <v>247</v>
      </c>
    </row>
    <row r="76" spans="1:40" s="381" customFormat="1" ht="15.75" customHeight="1" thickBot="1" x14ac:dyDescent="0.4">
      <c r="A76" s="667" t="s">
        <v>26</v>
      </c>
      <c r="B76" s="668">
        <v>3276</v>
      </c>
      <c r="C76" s="669" t="s">
        <v>206</v>
      </c>
      <c r="D76" s="670" t="s">
        <v>204</v>
      </c>
      <c r="E76" s="671"/>
      <c r="F76" s="816"/>
      <c r="G76" s="672"/>
      <c r="H76" s="672"/>
      <c r="I76" s="672"/>
      <c r="J76" s="673"/>
      <c r="K76" s="674">
        <f t="shared" si="19"/>
        <v>0</v>
      </c>
      <c r="L76" s="661"/>
      <c r="M76" s="661"/>
      <c r="N76" s="661"/>
      <c r="O76" s="661"/>
      <c r="P76" s="661"/>
      <c r="Q76" s="661"/>
      <c r="R76" s="661"/>
      <c r="S76" s="661"/>
      <c r="T76" s="661"/>
      <c r="U76" s="855"/>
      <c r="V76" s="672"/>
      <c r="W76" s="672"/>
      <c r="X76" s="672"/>
      <c r="Y76" s="672"/>
      <c r="Z76" s="672"/>
      <c r="AA76" s="673"/>
      <c r="AB76" s="674">
        <v>200000</v>
      </c>
      <c r="AC76" s="661"/>
      <c r="AD76" s="661"/>
      <c r="AE76" s="661"/>
      <c r="AF76" s="661"/>
      <c r="AG76" s="661"/>
      <c r="AH76" s="661"/>
      <c r="AI76" s="661"/>
      <c r="AJ76" s="661"/>
      <c r="AK76" s="661"/>
      <c r="AL76" s="681">
        <v>200000</v>
      </c>
      <c r="AM76" s="677">
        <f t="shared" si="18"/>
        <v>0</v>
      </c>
      <c r="AN76" s="725" t="s">
        <v>234</v>
      </c>
    </row>
    <row r="77" spans="1:40" s="381" customFormat="1" ht="21.75" thickBot="1" x14ac:dyDescent="0.4">
      <c r="A77" s="667" t="s">
        <v>26</v>
      </c>
      <c r="B77" s="668">
        <v>3278</v>
      </c>
      <c r="C77" s="669" t="s">
        <v>205</v>
      </c>
      <c r="D77" s="670" t="s">
        <v>204</v>
      </c>
      <c r="E77" s="671">
        <f>V77-AL77</f>
        <v>0</v>
      </c>
      <c r="F77" s="816"/>
      <c r="G77" s="672"/>
      <c r="H77" s="672"/>
      <c r="I77" s="672"/>
      <c r="J77" s="673"/>
      <c r="K77" s="674">
        <v>0</v>
      </c>
      <c r="L77" s="661"/>
      <c r="M77" s="661"/>
      <c r="N77" s="661"/>
      <c r="O77" s="661"/>
      <c r="P77" s="661"/>
      <c r="Q77" s="661"/>
      <c r="R77" s="661"/>
      <c r="S77" s="661"/>
      <c r="T77" s="661"/>
      <c r="U77" s="855"/>
      <c r="V77" s="672">
        <v>212500</v>
      </c>
      <c r="W77" s="672"/>
      <c r="X77" s="672"/>
      <c r="Y77" s="672"/>
      <c r="Z77" s="672"/>
      <c r="AA77" s="673"/>
      <c r="AB77" s="674"/>
      <c r="AC77" s="661"/>
      <c r="AD77" s="661"/>
      <c r="AE77" s="661"/>
      <c r="AF77" s="661"/>
      <c r="AG77" s="661"/>
      <c r="AH77" s="661"/>
      <c r="AI77" s="661"/>
      <c r="AJ77" s="661"/>
      <c r="AK77" s="661"/>
      <c r="AL77" s="681">
        <v>212500</v>
      </c>
      <c r="AM77" s="677">
        <f t="shared" si="18"/>
        <v>0</v>
      </c>
      <c r="AN77" s="725" t="s">
        <v>249</v>
      </c>
    </row>
    <row r="78" spans="1:40" s="381" customFormat="1" ht="21.75" thickBot="1" x14ac:dyDescent="0.4">
      <c r="A78" s="667" t="s">
        <v>26</v>
      </c>
      <c r="B78" s="668">
        <v>3278</v>
      </c>
      <c r="C78" s="669" t="s">
        <v>205</v>
      </c>
      <c r="D78" s="670" t="s">
        <v>204</v>
      </c>
      <c r="E78" s="671"/>
      <c r="F78" s="816"/>
      <c r="G78" s="672"/>
      <c r="H78" s="672"/>
      <c r="I78" s="672"/>
      <c r="J78" s="673"/>
      <c r="K78" s="674">
        <f t="shared" si="19"/>
        <v>0</v>
      </c>
      <c r="L78" s="661"/>
      <c r="M78" s="661"/>
      <c r="N78" s="661"/>
      <c r="O78" s="661"/>
      <c r="P78" s="661"/>
      <c r="Q78" s="661"/>
      <c r="R78" s="661"/>
      <c r="S78" s="661"/>
      <c r="T78" s="661"/>
      <c r="U78" s="855"/>
      <c r="V78" s="672"/>
      <c r="W78" s="672"/>
      <c r="X78" s="672"/>
      <c r="Y78" s="672"/>
      <c r="Z78" s="672"/>
      <c r="AA78" s="673"/>
      <c r="AB78" s="674">
        <v>435800</v>
      </c>
      <c r="AC78" s="661"/>
      <c r="AD78" s="661"/>
      <c r="AE78" s="661"/>
      <c r="AF78" s="661"/>
      <c r="AG78" s="661"/>
      <c r="AH78" s="661"/>
      <c r="AI78" s="661"/>
      <c r="AJ78" s="661"/>
      <c r="AK78" s="675"/>
      <c r="AL78" s="676">
        <v>435800</v>
      </c>
      <c r="AM78" s="677">
        <f t="shared" si="18"/>
        <v>0</v>
      </c>
      <c r="AN78" s="725" t="s">
        <v>235</v>
      </c>
    </row>
    <row r="79" spans="1:40" s="381" customFormat="1" ht="21.75" thickBot="1" x14ac:dyDescent="0.4">
      <c r="A79" s="682" t="s">
        <v>26</v>
      </c>
      <c r="B79" s="668">
        <v>3279</v>
      </c>
      <c r="C79" s="691" t="s">
        <v>209</v>
      </c>
      <c r="D79" s="692" t="s">
        <v>204</v>
      </c>
      <c r="E79" s="672"/>
      <c r="F79" s="816"/>
      <c r="G79" s="672"/>
      <c r="H79" s="672"/>
      <c r="I79" s="672"/>
      <c r="J79" s="673"/>
      <c r="K79" s="674">
        <v>0</v>
      </c>
      <c r="L79" s="661">
        <f>AC79-AL79</f>
        <v>0</v>
      </c>
      <c r="M79" s="661"/>
      <c r="N79" s="661"/>
      <c r="O79" s="661"/>
      <c r="P79" s="662"/>
      <c r="Q79" s="662"/>
      <c r="R79" s="662"/>
      <c r="S79" s="662"/>
      <c r="T79" s="662"/>
      <c r="U79" s="855"/>
      <c r="V79" s="672"/>
      <c r="W79" s="672"/>
      <c r="X79" s="672"/>
      <c r="Y79" s="672"/>
      <c r="Z79" s="693"/>
      <c r="AA79" s="673"/>
      <c r="AB79" s="674"/>
      <c r="AC79" s="662">
        <v>300000</v>
      </c>
      <c r="AD79" s="662"/>
      <c r="AE79" s="662"/>
      <c r="AF79" s="662"/>
      <c r="AG79" s="662"/>
      <c r="AH79" s="662"/>
      <c r="AI79" s="662"/>
      <c r="AJ79" s="662"/>
      <c r="AK79" s="675"/>
      <c r="AL79" s="676">
        <v>300000</v>
      </c>
      <c r="AM79" s="677">
        <f t="shared" si="18"/>
        <v>0</v>
      </c>
      <c r="AN79" s="684" t="s">
        <v>248</v>
      </c>
    </row>
    <row r="80" spans="1:40" s="381" customFormat="1" ht="21.75" thickBot="1" x14ac:dyDescent="0.4">
      <c r="A80" s="868" t="s">
        <v>26</v>
      </c>
      <c r="B80" s="864">
        <v>3305</v>
      </c>
      <c r="C80" s="691">
        <v>45322</v>
      </c>
      <c r="D80" s="692">
        <v>45412</v>
      </c>
      <c r="E80" s="672"/>
      <c r="F80" s="816"/>
      <c r="G80" s="672"/>
      <c r="H80" s="672"/>
      <c r="I80" s="672"/>
      <c r="J80" s="673">
        <f>SUM(F80:I80)</f>
        <v>0</v>
      </c>
      <c r="K80" s="674">
        <f t="shared" si="19"/>
        <v>0</v>
      </c>
      <c r="L80" s="661"/>
      <c r="M80" s="661"/>
      <c r="N80" s="661"/>
      <c r="O80" s="661"/>
      <c r="P80" s="662"/>
      <c r="Q80" s="662"/>
      <c r="R80" s="662"/>
      <c r="S80" s="662"/>
      <c r="T80" s="662"/>
      <c r="U80" s="855"/>
      <c r="V80" s="672"/>
      <c r="W80" s="672"/>
      <c r="X80" s="672"/>
      <c r="Y80" s="672"/>
      <c r="Z80" s="693"/>
      <c r="AA80" s="673"/>
      <c r="AB80" s="674">
        <v>500000</v>
      </c>
      <c r="AC80" s="662"/>
      <c r="AD80" s="662"/>
      <c r="AE80" s="662"/>
      <c r="AF80" s="662"/>
      <c r="AG80" s="662"/>
      <c r="AH80" s="662"/>
      <c r="AI80" s="662"/>
      <c r="AJ80" s="662"/>
      <c r="AK80" s="675"/>
      <c r="AL80" s="676">
        <v>500000</v>
      </c>
      <c r="AM80" s="677">
        <f t="shared" si="18"/>
        <v>0</v>
      </c>
      <c r="AN80" s="870" t="s">
        <v>364</v>
      </c>
    </row>
    <row r="81" spans="1:40" s="381" customFormat="1" ht="21.75" thickBot="1" x14ac:dyDescent="0.4">
      <c r="A81" s="868" t="s">
        <v>26</v>
      </c>
      <c r="B81" s="864">
        <v>3325</v>
      </c>
      <c r="C81" s="923" t="s">
        <v>284</v>
      </c>
      <c r="D81" s="882" t="s">
        <v>285</v>
      </c>
      <c r="E81" s="672"/>
      <c r="F81" s="816">
        <f>W81-AL81</f>
        <v>0</v>
      </c>
      <c r="G81" s="672"/>
      <c r="H81" s="672"/>
      <c r="I81" s="672"/>
      <c r="J81" s="673">
        <f t="shared" ref="J81:J92" si="20">SUM(F81:I81)</f>
        <v>0</v>
      </c>
      <c r="K81" s="674"/>
      <c r="L81" s="662"/>
      <c r="M81" s="662"/>
      <c r="N81" s="662"/>
      <c r="O81" s="662"/>
      <c r="P81" s="662"/>
      <c r="Q81" s="662"/>
      <c r="R81" s="662"/>
      <c r="S81" s="662"/>
      <c r="T81" s="662"/>
      <c r="U81" s="1119"/>
      <c r="V81" s="672"/>
      <c r="W81" s="672">
        <v>7500</v>
      </c>
      <c r="X81" s="672"/>
      <c r="Y81" s="672"/>
      <c r="Z81" s="693"/>
      <c r="AA81" s="672"/>
      <c r="AB81" s="674"/>
      <c r="AC81" s="662"/>
      <c r="AD81" s="662"/>
      <c r="AE81" s="662"/>
      <c r="AF81" s="662"/>
      <c r="AG81" s="662"/>
      <c r="AH81" s="662"/>
      <c r="AI81" s="662"/>
      <c r="AJ81" s="662"/>
      <c r="AK81" s="694"/>
      <c r="AL81" s="676">
        <f>4320+2880+300</f>
        <v>7500</v>
      </c>
      <c r="AM81" s="808">
        <f t="shared" si="18"/>
        <v>0</v>
      </c>
      <c r="AN81" s="870" t="s">
        <v>506</v>
      </c>
    </row>
    <row r="82" spans="1:40" s="381" customFormat="1" ht="21.75" thickBot="1" x14ac:dyDescent="0.4">
      <c r="A82" s="868" t="s">
        <v>26</v>
      </c>
      <c r="B82" s="864">
        <v>3325</v>
      </c>
      <c r="C82" s="691" t="s">
        <v>284</v>
      </c>
      <c r="D82" s="692" t="s">
        <v>285</v>
      </c>
      <c r="E82" s="672"/>
      <c r="F82" s="816"/>
      <c r="G82" s="672">
        <f>X82-AL82</f>
        <v>0</v>
      </c>
      <c r="H82" s="672"/>
      <c r="I82" s="672"/>
      <c r="J82" s="673">
        <f t="shared" si="20"/>
        <v>0</v>
      </c>
      <c r="K82" s="674"/>
      <c r="L82" s="661"/>
      <c r="M82" s="661"/>
      <c r="N82" s="661"/>
      <c r="O82" s="661"/>
      <c r="P82" s="662"/>
      <c r="Q82" s="662"/>
      <c r="R82" s="662"/>
      <c r="S82" s="662"/>
      <c r="T82" s="662"/>
      <c r="U82" s="855"/>
      <c r="V82" s="672"/>
      <c r="W82" s="672"/>
      <c r="X82" s="672">
        <v>8550</v>
      </c>
      <c r="Y82" s="672"/>
      <c r="Z82" s="693"/>
      <c r="AA82" s="673"/>
      <c r="AB82" s="674"/>
      <c r="AC82" s="662"/>
      <c r="AD82" s="662"/>
      <c r="AE82" s="662"/>
      <c r="AF82" s="662"/>
      <c r="AG82" s="662"/>
      <c r="AH82" s="662"/>
      <c r="AI82" s="662"/>
      <c r="AJ82" s="662"/>
      <c r="AK82" s="675"/>
      <c r="AL82" s="676">
        <f>5670+2880</f>
        <v>8550</v>
      </c>
      <c r="AM82" s="677">
        <f t="shared" si="18"/>
        <v>0</v>
      </c>
      <c r="AN82" s="870" t="s">
        <v>395</v>
      </c>
    </row>
    <row r="83" spans="1:40" s="381" customFormat="1" ht="21.75" thickBot="1" x14ac:dyDescent="0.4">
      <c r="A83" s="868" t="s">
        <v>26</v>
      </c>
      <c r="B83" s="864">
        <v>3325</v>
      </c>
      <c r="C83" s="691" t="s">
        <v>284</v>
      </c>
      <c r="D83" s="692" t="s">
        <v>285</v>
      </c>
      <c r="E83" s="672"/>
      <c r="F83" s="816"/>
      <c r="G83" s="672"/>
      <c r="H83" s="672">
        <f>Y83-AL83</f>
        <v>0</v>
      </c>
      <c r="I83" s="672"/>
      <c r="J83" s="673">
        <f t="shared" si="20"/>
        <v>0</v>
      </c>
      <c r="K83" s="674"/>
      <c r="L83" s="661"/>
      <c r="M83" s="661"/>
      <c r="N83" s="661"/>
      <c r="O83" s="661"/>
      <c r="P83" s="662"/>
      <c r="Q83" s="662"/>
      <c r="R83" s="662"/>
      <c r="S83" s="662"/>
      <c r="T83" s="662"/>
      <c r="U83" s="855"/>
      <c r="V83" s="672"/>
      <c r="W83" s="672"/>
      <c r="X83" s="672"/>
      <c r="Y83" s="672">
        <v>10050</v>
      </c>
      <c r="Z83" s="693"/>
      <c r="AA83" s="673"/>
      <c r="AB83" s="674"/>
      <c r="AC83" s="662"/>
      <c r="AD83" s="662"/>
      <c r="AE83" s="662"/>
      <c r="AF83" s="662"/>
      <c r="AG83" s="662"/>
      <c r="AH83" s="662"/>
      <c r="AI83" s="662"/>
      <c r="AJ83" s="662"/>
      <c r="AK83" s="675"/>
      <c r="AL83" s="676">
        <v>10050</v>
      </c>
      <c r="AM83" s="677">
        <f t="shared" si="18"/>
        <v>0</v>
      </c>
      <c r="AN83" s="870" t="s">
        <v>394</v>
      </c>
    </row>
    <row r="84" spans="1:40" s="381" customFormat="1" ht="21.75" thickBot="1" x14ac:dyDescent="0.4">
      <c r="A84" s="868" t="s">
        <v>26</v>
      </c>
      <c r="B84" s="864">
        <v>3325</v>
      </c>
      <c r="C84" s="691" t="s">
        <v>284</v>
      </c>
      <c r="D84" s="692" t="s">
        <v>285</v>
      </c>
      <c r="E84" s="672"/>
      <c r="F84" s="816"/>
      <c r="G84" s="672"/>
      <c r="H84" s="672"/>
      <c r="I84" s="672">
        <f>Z84-AL84</f>
        <v>0</v>
      </c>
      <c r="J84" s="673">
        <f t="shared" si="20"/>
        <v>0</v>
      </c>
      <c r="K84" s="674"/>
      <c r="L84" s="661"/>
      <c r="M84" s="661"/>
      <c r="N84" s="661"/>
      <c r="O84" s="661"/>
      <c r="P84" s="662"/>
      <c r="Q84" s="662"/>
      <c r="R84" s="662"/>
      <c r="S84" s="662"/>
      <c r="T84" s="662"/>
      <c r="U84" s="855"/>
      <c r="V84" s="672"/>
      <c r="W84" s="672"/>
      <c r="X84" s="672"/>
      <c r="Y84" s="672"/>
      <c r="Z84" s="693">
        <v>10950</v>
      </c>
      <c r="AA84" s="673"/>
      <c r="AB84" s="674"/>
      <c r="AC84" s="662"/>
      <c r="AD84" s="662"/>
      <c r="AE84" s="662"/>
      <c r="AF84" s="662"/>
      <c r="AG84" s="662"/>
      <c r="AH84" s="662"/>
      <c r="AI84" s="662"/>
      <c r="AJ84" s="662"/>
      <c r="AK84" s="675"/>
      <c r="AL84" s="676">
        <f>7650+3300</f>
        <v>10950</v>
      </c>
      <c r="AM84" s="677">
        <f t="shared" si="18"/>
        <v>0</v>
      </c>
      <c r="AN84" s="870" t="s">
        <v>393</v>
      </c>
    </row>
    <row r="85" spans="1:40" s="902" customFormat="1" ht="21.75" thickBot="1" x14ac:dyDescent="0.4">
      <c r="A85" s="868" t="s">
        <v>26</v>
      </c>
      <c r="B85" s="864">
        <v>3345</v>
      </c>
      <c r="C85" s="923" t="s">
        <v>334</v>
      </c>
      <c r="D85" s="882" t="s">
        <v>336</v>
      </c>
      <c r="E85" s="672"/>
      <c r="F85" s="816" t="s">
        <v>159</v>
      </c>
      <c r="G85" s="672"/>
      <c r="H85" s="672"/>
      <c r="I85" s="672"/>
      <c r="J85" s="673">
        <f t="shared" si="20"/>
        <v>0</v>
      </c>
      <c r="K85" s="674"/>
      <c r="L85" s="662"/>
      <c r="M85" s="662"/>
      <c r="N85" s="662"/>
      <c r="O85" s="662"/>
      <c r="P85" s="662"/>
      <c r="Q85" s="662"/>
      <c r="R85" s="662"/>
      <c r="S85" s="662"/>
      <c r="T85" s="662"/>
      <c r="U85" s="1119"/>
      <c r="V85" s="672"/>
      <c r="W85" s="672">
        <v>6000</v>
      </c>
      <c r="X85" s="672"/>
      <c r="Y85" s="672"/>
      <c r="Z85" s="693"/>
      <c r="AA85" s="672"/>
      <c r="AB85" s="674"/>
      <c r="AC85" s="662"/>
      <c r="AD85" s="662"/>
      <c r="AE85" s="662"/>
      <c r="AF85" s="662"/>
      <c r="AG85" s="662"/>
      <c r="AH85" s="662"/>
      <c r="AI85" s="662"/>
      <c r="AJ85" s="662"/>
      <c r="AK85" s="807"/>
      <c r="AL85" s="676">
        <v>6000</v>
      </c>
      <c r="AM85" s="808">
        <f t="shared" si="18"/>
        <v>0</v>
      </c>
      <c r="AN85" s="870" t="s">
        <v>533</v>
      </c>
    </row>
    <row r="86" spans="1:40" s="902" customFormat="1" ht="21.75" thickBot="1" x14ac:dyDescent="0.4">
      <c r="A86" s="868" t="s">
        <v>26</v>
      </c>
      <c r="B86" s="864">
        <v>3345</v>
      </c>
      <c r="C86" s="923" t="s">
        <v>334</v>
      </c>
      <c r="D86" s="882" t="s">
        <v>336</v>
      </c>
      <c r="E86" s="672"/>
      <c r="F86" s="816"/>
      <c r="G86" s="672">
        <f>X86-AL86</f>
        <v>0</v>
      </c>
      <c r="H86" s="672"/>
      <c r="I86" s="672"/>
      <c r="J86" s="673">
        <f t="shared" si="20"/>
        <v>0</v>
      </c>
      <c r="K86" s="674"/>
      <c r="L86" s="662"/>
      <c r="M86" s="662"/>
      <c r="N86" s="662"/>
      <c r="O86" s="662"/>
      <c r="P86" s="662"/>
      <c r="Q86" s="662"/>
      <c r="R86" s="662"/>
      <c r="S86" s="662"/>
      <c r="T86" s="662"/>
      <c r="U86" s="1119"/>
      <c r="V86" s="672"/>
      <c r="W86" s="672"/>
      <c r="X86" s="672">
        <v>10500</v>
      </c>
      <c r="Y86" s="672"/>
      <c r="Z86" s="693"/>
      <c r="AA86" s="672"/>
      <c r="AB86" s="674"/>
      <c r="AC86" s="662"/>
      <c r="AD86" s="662"/>
      <c r="AE86" s="662"/>
      <c r="AF86" s="662"/>
      <c r="AG86" s="662"/>
      <c r="AH86" s="662"/>
      <c r="AI86" s="662"/>
      <c r="AJ86" s="662"/>
      <c r="AK86" s="807"/>
      <c r="AL86" s="676">
        <v>10500</v>
      </c>
      <c r="AM86" s="808">
        <f t="shared" si="18"/>
        <v>0</v>
      </c>
      <c r="AN86" s="870" t="s">
        <v>533</v>
      </c>
    </row>
    <row r="87" spans="1:40" s="381" customFormat="1" ht="21.75" thickBot="1" x14ac:dyDescent="0.4">
      <c r="A87" s="868" t="s">
        <v>26</v>
      </c>
      <c r="B87" s="864">
        <v>3345</v>
      </c>
      <c r="C87" s="923" t="s">
        <v>334</v>
      </c>
      <c r="D87" s="882" t="s">
        <v>336</v>
      </c>
      <c r="E87" s="672"/>
      <c r="F87" s="816"/>
      <c r="G87" s="672"/>
      <c r="H87" s="672" t="s">
        <v>159</v>
      </c>
      <c r="I87" s="672"/>
      <c r="J87" s="673">
        <f t="shared" si="20"/>
        <v>0</v>
      </c>
      <c r="K87" s="674"/>
      <c r="L87" s="662"/>
      <c r="M87" s="662"/>
      <c r="N87" s="662"/>
      <c r="O87" s="662"/>
      <c r="P87" s="662"/>
      <c r="Q87" s="662"/>
      <c r="R87" s="662"/>
      <c r="S87" s="662"/>
      <c r="T87" s="662"/>
      <c r="U87" s="1119"/>
      <c r="V87" s="672"/>
      <c r="W87" s="672"/>
      <c r="X87" s="672"/>
      <c r="Y87" s="672">
        <v>7500</v>
      </c>
      <c r="Z87" s="693"/>
      <c r="AA87" s="672"/>
      <c r="AB87" s="674"/>
      <c r="AC87" s="662"/>
      <c r="AD87" s="662"/>
      <c r="AE87" s="662"/>
      <c r="AF87" s="662"/>
      <c r="AG87" s="662"/>
      <c r="AH87" s="662"/>
      <c r="AI87" s="662"/>
      <c r="AJ87" s="662"/>
      <c r="AK87" s="807"/>
      <c r="AL87" s="676">
        <v>7500</v>
      </c>
      <c r="AM87" s="808">
        <f t="shared" si="18"/>
        <v>0</v>
      </c>
      <c r="AN87" s="870" t="s">
        <v>533</v>
      </c>
    </row>
    <row r="88" spans="1:40" s="381" customFormat="1" ht="21.75" thickBot="1" x14ac:dyDescent="0.4">
      <c r="A88" s="868" t="s">
        <v>26</v>
      </c>
      <c r="B88" s="864">
        <v>3345</v>
      </c>
      <c r="C88" s="923" t="s">
        <v>334</v>
      </c>
      <c r="D88" s="882" t="s">
        <v>336</v>
      </c>
      <c r="E88" s="672"/>
      <c r="F88" s="816"/>
      <c r="G88" s="672"/>
      <c r="H88" s="672"/>
      <c r="I88" s="672">
        <f>Z88-AL88</f>
        <v>0</v>
      </c>
      <c r="J88" s="673">
        <f t="shared" si="20"/>
        <v>0</v>
      </c>
      <c r="K88" s="674"/>
      <c r="L88" s="662"/>
      <c r="M88" s="662"/>
      <c r="N88" s="662"/>
      <c r="O88" s="662"/>
      <c r="P88" s="662"/>
      <c r="Q88" s="662"/>
      <c r="R88" s="662"/>
      <c r="S88" s="662"/>
      <c r="T88" s="662"/>
      <c r="U88" s="1119"/>
      <c r="V88" s="672"/>
      <c r="W88" s="672"/>
      <c r="X88" s="672"/>
      <c r="Y88" s="672"/>
      <c r="Z88" s="693">
        <v>9300</v>
      </c>
      <c r="AA88" s="672"/>
      <c r="AB88" s="674"/>
      <c r="AC88" s="662"/>
      <c r="AD88" s="662"/>
      <c r="AE88" s="662"/>
      <c r="AF88" s="662"/>
      <c r="AG88" s="662"/>
      <c r="AH88" s="662"/>
      <c r="AI88" s="662"/>
      <c r="AJ88" s="662"/>
      <c r="AK88" s="807"/>
      <c r="AL88" s="676">
        <v>9300</v>
      </c>
      <c r="AM88" s="808">
        <f t="shared" si="18"/>
        <v>0</v>
      </c>
      <c r="AN88" s="870" t="s">
        <v>533</v>
      </c>
    </row>
    <row r="89" spans="1:40" s="381" customFormat="1" ht="21.75" thickBot="1" x14ac:dyDescent="0.4">
      <c r="A89" s="863" t="s">
        <v>26</v>
      </c>
      <c r="B89" s="709">
        <v>3346</v>
      </c>
      <c r="C89" s="978" t="s">
        <v>334</v>
      </c>
      <c r="D89" s="979" t="s">
        <v>336</v>
      </c>
      <c r="E89" s="980"/>
      <c r="F89" s="981"/>
      <c r="G89" s="981"/>
      <c r="H89" s="981"/>
      <c r="I89" s="981"/>
      <c r="J89" s="673">
        <f t="shared" si="20"/>
        <v>0</v>
      </c>
      <c r="K89" s="982"/>
      <c r="L89" s="983"/>
      <c r="M89" s="983">
        <f>AD89-AL89</f>
        <v>0</v>
      </c>
      <c r="N89" s="983"/>
      <c r="O89" s="983"/>
      <c r="P89" s="983"/>
      <c r="Q89" s="983"/>
      <c r="R89" s="983"/>
      <c r="S89" s="983"/>
      <c r="T89" s="983"/>
      <c r="U89" s="855"/>
      <c r="V89" s="980"/>
      <c r="W89" s="980"/>
      <c r="X89" s="980"/>
      <c r="Y89" s="980"/>
      <c r="Z89" s="984"/>
      <c r="AA89" s="673"/>
      <c r="AB89" s="982"/>
      <c r="AC89" s="983"/>
      <c r="AD89" s="983">
        <v>20000</v>
      </c>
      <c r="AE89" s="983"/>
      <c r="AF89" s="983"/>
      <c r="AG89" s="983"/>
      <c r="AH89" s="983"/>
      <c r="AI89" s="983"/>
      <c r="AJ89" s="983"/>
      <c r="AK89" s="985"/>
      <c r="AL89" s="986">
        <v>20000</v>
      </c>
      <c r="AM89" s="987">
        <f t="shared" si="18"/>
        <v>0</v>
      </c>
      <c r="AN89" s="988" t="s">
        <v>396</v>
      </c>
    </row>
    <row r="90" spans="1:40" s="381" customFormat="1" ht="21.75" thickBot="1" x14ac:dyDescent="0.4">
      <c r="A90" s="863" t="s">
        <v>26</v>
      </c>
      <c r="B90" s="709">
        <v>3346</v>
      </c>
      <c r="C90" s="978" t="s">
        <v>334</v>
      </c>
      <c r="D90" s="979" t="s">
        <v>336</v>
      </c>
      <c r="E90" s="980"/>
      <c r="F90" s="989"/>
      <c r="G90" s="980"/>
      <c r="H90" s="980"/>
      <c r="I90" s="980"/>
      <c r="J90" s="673">
        <f t="shared" si="20"/>
        <v>0</v>
      </c>
      <c r="K90" s="982"/>
      <c r="L90" s="983"/>
      <c r="M90" s="983"/>
      <c r="N90" s="983">
        <f>AE90-AL90</f>
        <v>0</v>
      </c>
      <c r="O90" s="983"/>
      <c r="P90" s="983"/>
      <c r="Q90" s="983"/>
      <c r="R90" s="983"/>
      <c r="S90" s="983"/>
      <c r="T90" s="983"/>
      <c r="U90" s="855"/>
      <c r="V90" s="980"/>
      <c r="W90" s="980"/>
      <c r="X90" s="980"/>
      <c r="Y90" s="980"/>
      <c r="Z90" s="984"/>
      <c r="AA90" s="673"/>
      <c r="AB90" s="982"/>
      <c r="AC90" s="983"/>
      <c r="AD90" s="983"/>
      <c r="AE90" s="983">
        <v>20000</v>
      </c>
      <c r="AF90" s="983"/>
      <c r="AG90" s="983"/>
      <c r="AH90" s="983"/>
      <c r="AI90" s="983"/>
      <c r="AJ90" s="983"/>
      <c r="AK90" s="985"/>
      <c r="AL90" s="986">
        <v>20000</v>
      </c>
      <c r="AM90" s="987">
        <f t="shared" si="18"/>
        <v>0</v>
      </c>
      <c r="AN90" s="988" t="s">
        <v>396</v>
      </c>
    </row>
    <row r="91" spans="1:40" s="381" customFormat="1" ht="21.75" thickBot="1" x14ac:dyDescent="0.4">
      <c r="A91" s="868" t="s">
        <v>26</v>
      </c>
      <c r="B91" s="864">
        <v>3347</v>
      </c>
      <c r="C91" s="923" t="s">
        <v>334</v>
      </c>
      <c r="D91" s="882" t="s">
        <v>335</v>
      </c>
      <c r="E91" s="816">
        <f>V91-AL91</f>
        <v>0</v>
      </c>
      <c r="F91" s="816"/>
      <c r="G91" s="672"/>
      <c r="H91" s="672"/>
      <c r="I91" s="672"/>
      <c r="J91" s="673">
        <f t="shared" si="20"/>
        <v>0</v>
      </c>
      <c r="K91" s="674"/>
      <c r="L91" s="662"/>
      <c r="M91" s="662"/>
      <c r="N91" s="662"/>
      <c r="O91" s="662"/>
      <c r="P91" s="662"/>
      <c r="Q91" s="662"/>
      <c r="R91" s="662"/>
      <c r="S91" s="662"/>
      <c r="T91" s="662"/>
      <c r="U91" s="1134"/>
      <c r="V91" s="672">
        <v>125000</v>
      </c>
      <c r="W91" s="672"/>
      <c r="X91" s="672"/>
      <c r="Y91" s="672"/>
      <c r="Z91" s="693"/>
      <c r="AA91" s="672"/>
      <c r="AB91" s="674"/>
      <c r="AC91" s="662"/>
      <c r="AD91" s="662"/>
      <c r="AE91" s="662"/>
      <c r="AF91" s="662"/>
      <c r="AG91" s="662"/>
      <c r="AH91" s="662"/>
      <c r="AI91" s="662"/>
      <c r="AJ91" s="662"/>
      <c r="AK91" s="807"/>
      <c r="AL91" s="676">
        <v>125000</v>
      </c>
      <c r="AM91" s="808">
        <f t="shared" si="18"/>
        <v>0</v>
      </c>
      <c r="AN91" s="870" t="s">
        <v>476</v>
      </c>
    </row>
    <row r="92" spans="1:40" s="902" customFormat="1" ht="21.75" thickBot="1" x14ac:dyDescent="0.4">
      <c r="A92" s="868" t="s">
        <v>26</v>
      </c>
      <c r="B92" s="864">
        <v>3352</v>
      </c>
      <c r="C92" s="923" t="s">
        <v>362</v>
      </c>
      <c r="D92" s="882" t="s">
        <v>363</v>
      </c>
      <c r="E92" s="816"/>
      <c r="F92" s="816"/>
      <c r="G92" s="672"/>
      <c r="H92" s="672"/>
      <c r="I92" s="672">
        <f>Z92-AL92</f>
        <v>0</v>
      </c>
      <c r="J92" s="673">
        <f t="shared" si="20"/>
        <v>0</v>
      </c>
      <c r="K92" s="672"/>
      <c r="L92" s="1075"/>
      <c r="M92" s="662"/>
      <c r="N92" s="662"/>
      <c r="O92" s="662"/>
      <c r="P92" s="662"/>
      <c r="Q92" s="662"/>
      <c r="R92" s="662"/>
      <c r="S92" s="662"/>
      <c r="T92" s="662"/>
      <c r="U92" s="1119"/>
      <c r="V92" s="672"/>
      <c r="W92" s="672"/>
      <c r="X92" s="672"/>
      <c r="Y92" s="672"/>
      <c r="Z92" s="672">
        <v>28950</v>
      </c>
      <c r="AA92" s="672"/>
      <c r="AB92" s="674"/>
      <c r="AC92" s="662"/>
      <c r="AD92" s="662"/>
      <c r="AE92" s="662"/>
      <c r="AF92" s="662"/>
      <c r="AG92" s="662"/>
      <c r="AH92" s="662"/>
      <c r="AI92" s="662"/>
      <c r="AJ92" s="662"/>
      <c r="AK92" s="807"/>
      <c r="AL92" s="1124">
        <f>28800+150</f>
        <v>28950</v>
      </c>
      <c r="AM92" s="808">
        <f t="shared" si="18"/>
        <v>0</v>
      </c>
      <c r="AN92" s="870" t="s">
        <v>507</v>
      </c>
    </row>
    <row r="93" spans="1:40" s="381" customFormat="1" ht="21.75" thickBot="1" x14ac:dyDescent="0.4">
      <c r="A93" s="868" t="s">
        <v>26</v>
      </c>
      <c r="B93" s="864">
        <v>970</v>
      </c>
      <c r="C93" s="923" t="s">
        <v>390</v>
      </c>
      <c r="D93" s="882" t="s">
        <v>392</v>
      </c>
      <c r="E93" s="816">
        <f>V93-AL93</f>
        <v>0</v>
      </c>
      <c r="F93" s="816"/>
      <c r="G93" s="672"/>
      <c r="H93" s="672"/>
      <c r="I93" s="672"/>
      <c r="J93" s="673"/>
      <c r="K93" s="672"/>
      <c r="L93" s="1075"/>
      <c r="M93" s="662"/>
      <c r="N93" s="662"/>
      <c r="O93" s="662"/>
      <c r="P93" s="662"/>
      <c r="Q93" s="662"/>
      <c r="R93" s="662"/>
      <c r="S93" s="662"/>
      <c r="T93" s="662"/>
      <c r="U93" s="1119"/>
      <c r="V93" s="672">
        <v>250000</v>
      </c>
      <c r="W93" s="672"/>
      <c r="X93" s="672"/>
      <c r="Y93" s="672"/>
      <c r="Z93" s="693"/>
      <c r="AA93" s="672"/>
      <c r="AB93" s="674"/>
      <c r="AC93" s="662"/>
      <c r="AD93" s="662"/>
      <c r="AE93" s="662"/>
      <c r="AF93" s="662"/>
      <c r="AG93" s="662"/>
      <c r="AH93" s="662"/>
      <c r="AI93" s="662"/>
      <c r="AJ93" s="662"/>
      <c r="AK93" s="807"/>
      <c r="AL93" s="676">
        <f>19500+230500</f>
        <v>250000</v>
      </c>
      <c r="AM93" s="808">
        <f t="shared" si="18"/>
        <v>0</v>
      </c>
      <c r="AN93" s="870" t="s">
        <v>519</v>
      </c>
    </row>
    <row r="94" spans="1:40" s="381" customFormat="1" ht="21.75" thickBot="1" x14ac:dyDescent="0.4">
      <c r="A94" s="868" t="s">
        <v>26</v>
      </c>
      <c r="B94" s="864">
        <v>3377</v>
      </c>
      <c r="C94" s="923" t="s">
        <v>426</v>
      </c>
      <c r="D94" s="882" t="s">
        <v>335</v>
      </c>
      <c r="E94" s="816"/>
      <c r="F94" s="816"/>
      <c r="G94" s="672"/>
      <c r="H94" s="672"/>
      <c r="I94" s="672"/>
      <c r="J94" s="673"/>
      <c r="K94" s="672"/>
      <c r="L94" s="1075"/>
      <c r="M94" s="662">
        <f>AD94-AL94</f>
        <v>0</v>
      </c>
      <c r="N94" s="662"/>
      <c r="O94" s="662"/>
      <c r="P94" s="662"/>
      <c r="Q94" s="662"/>
      <c r="R94" s="662"/>
      <c r="S94" s="662"/>
      <c r="T94" s="662"/>
      <c r="U94" s="1119"/>
      <c r="V94" s="672"/>
      <c r="W94" s="672"/>
      <c r="X94" s="672"/>
      <c r="Y94" s="672"/>
      <c r="Z94" s="693"/>
      <c r="AA94" s="672"/>
      <c r="AB94" s="672"/>
      <c r="AC94" s="662"/>
      <c r="AD94" s="662">
        <v>20000</v>
      </c>
      <c r="AE94" s="662"/>
      <c r="AF94" s="662"/>
      <c r="AG94" s="662"/>
      <c r="AH94" s="662"/>
      <c r="AI94" s="662"/>
      <c r="AJ94" s="662"/>
      <c r="AK94" s="662"/>
      <c r="AL94" s="676">
        <v>20000</v>
      </c>
      <c r="AM94" s="808">
        <f t="shared" si="18"/>
        <v>0</v>
      </c>
      <c r="AN94" s="870" t="s">
        <v>534</v>
      </c>
    </row>
    <row r="95" spans="1:40" s="381" customFormat="1" ht="21.75" thickBot="1" x14ac:dyDescent="0.4">
      <c r="A95" s="868" t="s">
        <v>26</v>
      </c>
      <c r="B95" s="864">
        <v>3374</v>
      </c>
      <c r="C95" s="923" t="s">
        <v>425</v>
      </c>
      <c r="D95" s="882" t="s">
        <v>335</v>
      </c>
      <c r="E95" s="816"/>
      <c r="F95" s="816"/>
      <c r="G95" s="672"/>
      <c r="H95" s="672"/>
      <c r="I95" s="672"/>
      <c r="J95" s="673"/>
      <c r="K95" s="672"/>
      <c r="L95" s="1075"/>
      <c r="M95" s="662"/>
      <c r="N95" s="662">
        <f>AE95-AL95</f>
        <v>0</v>
      </c>
      <c r="O95" s="662"/>
      <c r="P95" s="662"/>
      <c r="Q95" s="662"/>
      <c r="R95" s="662"/>
      <c r="S95" s="662"/>
      <c r="T95" s="662"/>
      <c r="U95" s="855"/>
      <c r="V95" s="672"/>
      <c r="W95" s="672"/>
      <c r="X95" s="672"/>
      <c r="Y95" s="672"/>
      <c r="Z95" s="693"/>
      <c r="AA95" s="672"/>
      <c r="AB95" s="672"/>
      <c r="AC95" s="662"/>
      <c r="AD95" s="662"/>
      <c r="AE95" s="662">
        <v>20000</v>
      </c>
      <c r="AF95" s="662"/>
      <c r="AG95" s="662"/>
      <c r="AH95" s="662"/>
      <c r="AI95" s="662"/>
      <c r="AJ95" s="662"/>
      <c r="AK95" s="662"/>
      <c r="AL95" s="676">
        <v>20000</v>
      </c>
      <c r="AM95" s="808">
        <f t="shared" si="18"/>
        <v>0</v>
      </c>
      <c r="AN95" s="870" t="s">
        <v>471</v>
      </c>
    </row>
    <row r="96" spans="1:40" s="381" customFormat="1" ht="21.75" thickBot="1" x14ac:dyDescent="0.4">
      <c r="A96" s="868" t="s">
        <v>26</v>
      </c>
      <c r="B96" s="864">
        <v>3387</v>
      </c>
      <c r="C96" s="1137" t="s">
        <v>464</v>
      </c>
      <c r="D96" s="1138" t="s">
        <v>465</v>
      </c>
      <c r="E96" s="816">
        <f>V96-AL96</f>
        <v>0</v>
      </c>
      <c r="F96" s="816"/>
      <c r="G96" s="672"/>
      <c r="H96" s="672"/>
      <c r="I96" s="672"/>
      <c r="J96" s="673"/>
      <c r="K96" s="672"/>
      <c r="L96" s="1139"/>
      <c r="M96" s="662"/>
      <c r="N96" s="662"/>
      <c r="O96" s="662"/>
      <c r="P96" s="662"/>
      <c r="Q96" s="662"/>
      <c r="R96" s="662"/>
      <c r="S96" s="662"/>
      <c r="T96" s="662"/>
      <c r="U96" s="1119"/>
      <c r="V96" s="672">
        <v>250000</v>
      </c>
      <c r="W96" s="672"/>
      <c r="X96" s="672"/>
      <c r="Y96" s="672"/>
      <c r="Z96" s="693"/>
      <c r="AA96" s="672"/>
      <c r="AB96" s="674"/>
      <c r="AC96" s="1131"/>
      <c r="AD96" s="662"/>
      <c r="AE96" s="662"/>
      <c r="AF96" s="662"/>
      <c r="AG96" s="662"/>
      <c r="AH96" s="662"/>
      <c r="AI96" s="662"/>
      <c r="AJ96" s="662"/>
      <c r="AK96" s="807"/>
      <c r="AL96" s="1124">
        <f>94500+155500</f>
        <v>250000</v>
      </c>
      <c r="AM96" s="808">
        <f>(V96+W96+X96+Y96+Z96+AB96+AC96+AD96+AE96+AF96+AG96+AH96+AI96+AJ96+AK96)-AL96</f>
        <v>0</v>
      </c>
      <c r="AN96" s="870" t="s">
        <v>526</v>
      </c>
    </row>
    <row r="97" spans="1:40" s="379" customFormat="1" ht="21.75" thickBot="1" x14ac:dyDescent="0.4">
      <c r="A97" s="380" t="s">
        <v>26</v>
      </c>
      <c r="B97" s="378">
        <v>3400</v>
      </c>
      <c r="C97" s="879" t="s">
        <v>499</v>
      </c>
      <c r="D97" s="880" t="s">
        <v>500</v>
      </c>
      <c r="E97" s="459"/>
      <c r="F97" s="823"/>
      <c r="G97" s="823"/>
      <c r="H97" s="823"/>
      <c r="I97" s="459"/>
      <c r="J97" s="384"/>
      <c r="K97" s="804">
        <f>AB97-AL97</f>
        <v>167400</v>
      </c>
      <c r="L97" s="460"/>
      <c r="M97" s="460"/>
      <c r="N97" s="460"/>
      <c r="O97" s="460"/>
      <c r="P97" s="460"/>
      <c r="Q97" s="460"/>
      <c r="R97" s="460"/>
      <c r="S97" s="460"/>
      <c r="T97" s="460"/>
      <c r="U97" s="855"/>
      <c r="V97" s="461"/>
      <c r="W97" s="461"/>
      <c r="X97" s="461"/>
      <c r="Y97" s="461"/>
      <c r="Z97" s="466"/>
      <c r="AA97" s="353"/>
      <c r="AB97" s="462">
        <v>1000000</v>
      </c>
      <c r="AC97" s="463"/>
      <c r="AD97" s="463"/>
      <c r="AE97" s="463"/>
      <c r="AF97" s="463"/>
      <c r="AG97" s="463"/>
      <c r="AH97" s="463"/>
      <c r="AI97" s="463"/>
      <c r="AJ97" s="463"/>
      <c r="AK97" s="881"/>
      <c r="AL97" s="464">
        <f>300000+532600</f>
        <v>832600</v>
      </c>
      <c r="AM97" s="390">
        <f>(V97+W97+X97+Y97+Z97+AB97+AC97+AD97+AE97+AF97+AG97+AH97+AI97+AJ97+AK97)-AL97</f>
        <v>167400</v>
      </c>
      <c r="AN97" s="861" t="s">
        <v>545</v>
      </c>
    </row>
    <row r="98" spans="1:40" s="379" customFormat="1" ht="21.75" thickBot="1" x14ac:dyDescent="0.4">
      <c r="A98" s="868" t="s">
        <v>26</v>
      </c>
      <c r="B98" s="864">
        <v>3401</v>
      </c>
      <c r="C98" s="923" t="s">
        <v>499</v>
      </c>
      <c r="D98" s="882" t="s">
        <v>500</v>
      </c>
      <c r="E98" s="672"/>
      <c r="F98" s="816"/>
      <c r="G98" s="816"/>
      <c r="H98" s="816"/>
      <c r="I98" s="672"/>
      <c r="J98" s="673"/>
      <c r="K98" s="674">
        <f>AB98-AL98</f>
        <v>0</v>
      </c>
      <c r="L98" s="662"/>
      <c r="M98" s="662"/>
      <c r="N98" s="662"/>
      <c r="O98" s="662"/>
      <c r="P98" s="662"/>
      <c r="Q98" s="662"/>
      <c r="R98" s="662"/>
      <c r="S98" s="662"/>
      <c r="T98" s="662"/>
      <c r="U98" s="1119"/>
      <c r="V98" s="672"/>
      <c r="W98" s="672"/>
      <c r="X98" s="672"/>
      <c r="Y98" s="672"/>
      <c r="Z98" s="693"/>
      <c r="AA98" s="672"/>
      <c r="AB98" s="674">
        <v>1000000</v>
      </c>
      <c r="AC98" s="662"/>
      <c r="AD98" s="662"/>
      <c r="AE98" s="662"/>
      <c r="AF98" s="662"/>
      <c r="AG98" s="662"/>
      <c r="AH98" s="662"/>
      <c r="AI98" s="662"/>
      <c r="AJ98" s="662"/>
      <c r="AK98" s="768"/>
      <c r="AL98" s="676">
        <f>955500+44500</f>
        <v>1000000</v>
      </c>
      <c r="AM98" s="676">
        <f>(V98+W98+X98+Y98+Z98+AB98+AC98+AD98+AE98+AF98+AG98+AH98+AI98+AJ98+AK98)-AL98</f>
        <v>0</v>
      </c>
      <c r="AN98" s="870" t="s">
        <v>520</v>
      </c>
    </row>
    <row r="99" spans="1:40" s="379" customFormat="1" ht="21.75" thickBot="1" x14ac:dyDescent="0.4">
      <c r="A99" s="380" t="s">
        <v>26</v>
      </c>
      <c r="B99" s="378">
        <v>3408</v>
      </c>
      <c r="C99" s="907" t="s">
        <v>504</v>
      </c>
      <c r="D99" s="908" t="s">
        <v>391</v>
      </c>
      <c r="E99" s="383"/>
      <c r="F99" s="817"/>
      <c r="G99" s="817"/>
      <c r="H99" s="817"/>
      <c r="I99" s="383"/>
      <c r="J99" s="384"/>
      <c r="K99" s="1077"/>
      <c r="L99" s="385"/>
      <c r="M99" s="460">
        <f>AD99-AL99</f>
        <v>2000</v>
      </c>
      <c r="N99" s="385"/>
      <c r="O99" s="385"/>
      <c r="P99" s="385"/>
      <c r="Q99" s="385"/>
      <c r="R99" s="385"/>
      <c r="S99" s="385"/>
      <c r="T99" s="385"/>
      <c r="U99" s="855"/>
      <c r="V99" s="356"/>
      <c r="W99" s="356"/>
      <c r="X99" s="356"/>
      <c r="Y99" s="356"/>
      <c r="Z99" s="387"/>
      <c r="AA99" s="356"/>
      <c r="AB99" s="358"/>
      <c r="AC99" s="388"/>
      <c r="AD99" s="388">
        <v>20000</v>
      </c>
      <c r="AE99" s="388"/>
      <c r="AF99" s="388"/>
      <c r="AG99" s="388"/>
      <c r="AH99" s="388"/>
      <c r="AI99" s="388"/>
      <c r="AJ99" s="388"/>
      <c r="AK99" s="1120"/>
      <c r="AL99" s="436">
        <v>18000</v>
      </c>
      <c r="AM99" s="900">
        <f t="shared" ref="AM99" si="21">(V99+W99+X99+Y99+Z99+AB99+AC99+AD99+AE99+AF99+AG99+AH99+AI99+AJ99+AK99)-AL99</f>
        <v>2000</v>
      </c>
      <c r="AN99" s="386" t="s">
        <v>597</v>
      </c>
    </row>
    <row r="100" spans="1:40" s="381" customFormat="1" ht="21.75" thickBot="1" x14ac:dyDescent="0.4">
      <c r="A100" s="444" t="s">
        <v>26</v>
      </c>
      <c r="B100" s="445" t="s">
        <v>24</v>
      </c>
      <c r="C100" s="446"/>
      <c r="D100" s="485"/>
      <c r="E100" s="468">
        <f>SUM(E59:E96)</f>
        <v>0</v>
      </c>
      <c r="F100" s="448">
        <f>SUM(F59:F95)</f>
        <v>0</v>
      </c>
      <c r="G100" s="448">
        <f>SUM(G59:G95)</f>
        <v>0</v>
      </c>
      <c r="H100" s="448">
        <f>SUM(H59:H95)</f>
        <v>0</v>
      </c>
      <c r="I100" s="448">
        <f>SUM(I59:I95)</f>
        <v>0</v>
      </c>
      <c r="J100" s="449">
        <f>SUM(J59:J95)</f>
        <v>0</v>
      </c>
      <c r="K100" s="448">
        <f>SUM(K59:K98)</f>
        <v>167400</v>
      </c>
      <c r="L100" s="926">
        <f>SUM(L59:L95)</f>
        <v>0</v>
      </c>
      <c r="M100" s="448">
        <f>SUM(M59:M99)</f>
        <v>2000</v>
      </c>
      <c r="N100" s="448">
        <f t="shared" ref="N100:T100" si="22">SUM(N59:N95)</f>
        <v>0</v>
      </c>
      <c r="O100" s="448">
        <f t="shared" si="22"/>
        <v>0</v>
      </c>
      <c r="P100" s="448">
        <f t="shared" si="22"/>
        <v>0</v>
      </c>
      <c r="Q100" s="448">
        <f>SUM(Q59:Q95)</f>
        <v>0</v>
      </c>
      <c r="R100" s="448">
        <f t="shared" si="22"/>
        <v>0</v>
      </c>
      <c r="S100" s="448">
        <f t="shared" si="22"/>
        <v>0</v>
      </c>
      <c r="T100" s="448">
        <f t="shared" si="22"/>
        <v>0</v>
      </c>
      <c r="U100" s="855"/>
      <c r="V100" s="448">
        <f>SUM(V59:V96)</f>
        <v>1025000</v>
      </c>
      <c r="W100" s="448">
        <f>SUM(W59:W95)</f>
        <v>39000</v>
      </c>
      <c r="X100" s="448">
        <f>SUM(X59:X95)</f>
        <v>66450</v>
      </c>
      <c r="Y100" s="448">
        <f>SUM(Y59:Y95)</f>
        <v>82740</v>
      </c>
      <c r="Z100" s="448">
        <f>SUM(Z59:Z95)</f>
        <v>83940</v>
      </c>
      <c r="AA100" s="449">
        <f>SUM(AA59:AA95)</f>
        <v>172830</v>
      </c>
      <c r="AB100" s="448">
        <f>SUM(AB59:AB98)</f>
        <v>3810800</v>
      </c>
      <c r="AC100" s="448">
        <f>SUM(AC59:AC95)</f>
        <v>300000</v>
      </c>
      <c r="AD100" s="448">
        <f>SUM(AD59:AD99)</f>
        <v>60000</v>
      </c>
      <c r="AE100" s="448">
        <f t="shared" ref="AE100:AJ100" si="23">SUM(AE59:AE95)</f>
        <v>40000</v>
      </c>
      <c r="AF100" s="448">
        <f t="shared" si="23"/>
        <v>9535</v>
      </c>
      <c r="AG100" s="448">
        <f t="shared" si="23"/>
        <v>0</v>
      </c>
      <c r="AH100" s="448">
        <f t="shared" si="23"/>
        <v>77100</v>
      </c>
      <c r="AI100" s="448">
        <f t="shared" si="23"/>
        <v>0</v>
      </c>
      <c r="AJ100" s="448">
        <f t="shared" si="23"/>
        <v>0</v>
      </c>
      <c r="AK100" s="448">
        <f>SUM(AK59:AK98)</f>
        <v>4860</v>
      </c>
      <c r="AL100" s="450"/>
      <c r="AM100" s="451">
        <f>SUM(AM59:AM99)</f>
        <v>169400</v>
      </c>
      <c r="AN100" s="452"/>
    </row>
    <row r="101" spans="1:40" s="381" customFormat="1" ht="21.75" thickBot="1" x14ac:dyDescent="0.4">
      <c r="A101" s="682" t="s">
        <v>27</v>
      </c>
      <c r="B101" s="668">
        <v>3989</v>
      </c>
      <c r="C101" s="669" t="s">
        <v>151</v>
      </c>
      <c r="D101" s="679" t="s">
        <v>152</v>
      </c>
      <c r="E101" s="671">
        <v>0</v>
      </c>
      <c r="F101" s="816">
        <v>0</v>
      </c>
      <c r="G101" s="672">
        <v>0</v>
      </c>
      <c r="H101" s="672">
        <v>0</v>
      </c>
      <c r="I101" s="672">
        <f>Z101-AL101</f>
        <v>0</v>
      </c>
      <c r="J101" s="673">
        <f>SUM(F101:I101)</f>
        <v>0</v>
      </c>
      <c r="K101" s="674">
        <v>0</v>
      </c>
      <c r="L101" s="662">
        <v>0</v>
      </c>
      <c r="M101" s="662">
        <v>0</v>
      </c>
      <c r="N101" s="662">
        <v>0</v>
      </c>
      <c r="O101" s="662">
        <v>0</v>
      </c>
      <c r="P101" s="662">
        <v>0</v>
      </c>
      <c r="Q101" s="662">
        <v>0</v>
      </c>
      <c r="R101" s="662">
        <v>0</v>
      </c>
      <c r="S101" s="662">
        <v>0</v>
      </c>
      <c r="T101" s="662">
        <v>0</v>
      </c>
      <c r="U101" s="855"/>
      <c r="V101" s="685">
        <v>0</v>
      </c>
      <c r="W101" s="686">
        <v>0</v>
      </c>
      <c r="X101" s="686">
        <v>0</v>
      </c>
      <c r="Y101" s="686">
        <v>0</v>
      </c>
      <c r="Z101" s="672">
        <v>15930</v>
      </c>
      <c r="AA101" s="673">
        <f>SUM(W101:Z101)</f>
        <v>15930</v>
      </c>
      <c r="AB101" s="687">
        <v>0</v>
      </c>
      <c r="AC101" s="688">
        <v>0</v>
      </c>
      <c r="AD101" s="688">
        <v>0</v>
      </c>
      <c r="AE101" s="688">
        <v>0</v>
      </c>
      <c r="AF101" s="688">
        <v>0</v>
      </c>
      <c r="AG101" s="688">
        <v>0</v>
      </c>
      <c r="AH101" s="688">
        <v>0</v>
      </c>
      <c r="AI101" s="688">
        <v>0</v>
      </c>
      <c r="AJ101" s="688">
        <v>0</v>
      </c>
      <c r="AK101" s="803">
        <v>0</v>
      </c>
      <c r="AL101" s="676">
        <f>2160+13050+720</f>
        <v>15930</v>
      </c>
      <c r="AM101" s="677">
        <f>(V101+W101+X101+Y101+Z101+AB101+AC101+AD101+AE101+AF101+AG101+AH101+AI101+AJ101+AK101)-AL101</f>
        <v>0</v>
      </c>
      <c r="AN101" s="684" t="s">
        <v>279</v>
      </c>
    </row>
    <row r="102" spans="1:40" s="381" customFormat="1" ht="21.75" thickBot="1" x14ac:dyDescent="0.4">
      <c r="A102" s="1020" t="s">
        <v>27</v>
      </c>
      <c r="B102" s="1033">
        <v>3987</v>
      </c>
      <c r="C102" s="1034" t="s">
        <v>151</v>
      </c>
      <c r="D102" s="1035" t="s">
        <v>152</v>
      </c>
      <c r="E102" s="1015">
        <v>0</v>
      </c>
      <c r="F102" s="1024">
        <v>0</v>
      </c>
      <c r="G102" s="1016">
        <v>0</v>
      </c>
      <c r="H102" s="1016">
        <v>0</v>
      </c>
      <c r="I102" s="1016">
        <v>0</v>
      </c>
      <c r="J102" s="673">
        <f>SUM(F102:I102)</f>
        <v>0</v>
      </c>
      <c r="K102" s="1017">
        <v>0</v>
      </c>
      <c r="L102" s="1018">
        <v>0</v>
      </c>
      <c r="M102" s="1018">
        <v>0</v>
      </c>
      <c r="N102" s="1018">
        <v>0</v>
      </c>
      <c r="O102" s="1018">
        <f>AF102-AL102</f>
        <v>0</v>
      </c>
      <c r="P102" s="1018">
        <v>0</v>
      </c>
      <c r="Q102" s="1018">
        <v>0</v>
      </c>
      <c r="R102" s="1018">
        <v>0</v>
      </c>
      <c r="S102" s="1018">
        <v>0</v>
      </c>
      <c r="T102" s="1018">
        <v>0</v>
      </c>
      <c r="U102" s="855"/>
      <c r="V102" s="1015">
        <v>0</v>
      </c>
      <c r="W102" s="1016">
        <v>0</v>
      </c>
      <c r="X102" s="1016">
        <v>0</v>
      </c>
      <c r="Y102" s="1016">
        <v>0</v>
      </c>
      <c r="Z102" s="1016">
        <v>0</v>
      </c>
      <c r="AA102" s="1016">
        <f>SUM(W102:Z102)</f>
        <v>0</v>
      </c>
      <c r="AB102" s="1017">
        <v>0</v>
      </c>
      <c r="AC102" s="1018">
        <v>0</v>
      </c>
      <c r="AD102" s="1018">
        <v>0</v>
      </c>
      <c r="AE102" s="1018">
        <v>0</v>
      </c>
      <c r="AF102" s="1018">
        <v>2682</v>
      </c>
      <c r="AG102" s="1018">
        <v>0</v>
      </c>
      <c r="AH102" s="1018">
        <v>0</v>
      </c>
      <c r="AI102" s="1018">
        <v>0</v>
      </c>
      <c r="AJ102" s="1018">
        <v>0</v>
      </c>
      <c r="AK102" s="1018">
        <v>0</v>
      </c>
      <c r="AL102" s="1121">
        <v>2682</v>
      </c>
      <c r="AM102" s="1122">
        <f>(V102+W102+X102+Y102+Z102+AB102+AC102+AD102+AE102+AF102+AG102+AH102+AI102+AJ102+AK102)-AL102</f>
        <v>0</v>
      </c>
      <c r="AN102" s="1123" t="s">
        <v>470</v>
      </c>
    </row>
    <row r="103" spans="1:40" s="381" customFormat="1" ht="21.75" thickBot="1" x14ac:dyDescent="0.4">
      <c r="A103" s="1020" t="s">
        <v>27</v>
      </c>
      <c r="B103" s="1033">
        <v>4018</v>
      </c>
      <c r="C103" s="1034" t="s">
        <v>164</v>
      </c>
      <c r="D103" s="1035" t="s">
        <v>165</v>
      </c>
      <c r="E103" s="1015">
        <f>V103-AL103</f>
        <v>0</v>
      </c>
      <c r="F103" s="1024"/>
      <c r="G103" s="1016"/>
      <c r="H103" s="1016"/>
      <c r="I103" s="1016"/>
      <c r="J103" s="1016">
        <f>SUM(F103:I103)</f>
        <v>0</v>
      </c>
      <c r="K103" s="1017"/>
      <c r="L103" s="1018"/>
      <c r="M103" s="1018"/>
      <c r="N103" s="1018"/>
      <c r="O103" s="1018"/>
      <c r="P103" s="1018"/>
      <c r="Q103" s="1018"/>
      <c r="R103" s="1018"/>
      <c r="S103" s="1018"/>
      <c r="T103" s="1018"/>
      <c r="U103" s="855"/>
      <c r="V103" s="1015">
        <v>250000</v>
      </c>
      <c r="W103" s="1016"/>
      <c r="X103" s="1016"/>
      <c r="Y103" s="1016"/>
      <c r="Z103" s="1016"/>
      <c r="AA103" s="1016"/>
      <c r="AB103" s="1017"/>
      <c r="AC103" s="1018"/>
      <c r="AD103" s="1018"/>
      <c r="AE103" s="1018"/>
      <c r="AF103" s="1018"/>
      <c r="AG103" s="1018"/>
      <c r="AH103" s="1018"/>
      <c r="AI103" s="1018"/>
      <c r="AJ103" s="1018"/>
      <c r="AK103" s="1018"/>
      <c r="AL103" s="1121">
        <f>215000+35000</f>
        <v>250000</v>
      </c>
      <c r="AM103" s="1122">
        <f>(V103+W103+X103+Y103+Z103+AB103+AC103+AD103+AE103+AF103+AG103+AH103+AI103+AJ103+AK103)-AL103</f>
        <v>0</v>
      </c>
      <c r="AN103" s="1123" t="s">
        <v>435</v>
      </c>
    </row>
    <row r="104" spans="1:40" s="381" customFormat="1" ht="21.75" thickBot="1" x14ac:dyDescent="0.4">
      <c r="A104" s="868" t="s">
        <v>27</v>
      </c>
      <c r="B104" s="864">
        <v>4049</v>
      </c>
      <c r="C104" s="865" t="s">
        <v>160</v>
      </c>
      <c r="D104" s="867" t="s">
        <v>163</v>
      </c>
      <c r="E104" s="671"/>
      <c r="F104" s="816"/>
      <c r="G104" s="672"/>
      <c r="H104" s="672"/>
      <c r="I104" s="672"/>
      <c r="J104" s="673"/>
      <c r="K104" s="674"/>
      <c r="L104" s="662"/>
      <c r="M104" s="662"/>
      <c r="N104" s="662"/>
      <c r="O104" s="662">
        <f>AF104-AL104</f>
        <v>0</v>
      </c>
      <c r="P104" s="662"/>
      <c r="Q104" s="662"/>
      <c r="R104" s="662"/>
      <c r="S104" s="662"/>
      <c r="T104" s="662"/>
      <c r="U104" s="855"/>
      <c r="V104" s="671"/>
      <c r="W104" s="672"/>
      <c r="X104" s="672"/>
      <c r="Y104" s="672"/>
      <c r="Z104" s="672"/>
      <c r="AA104" s="673"/>
      <c r="AB104" s="674"/>
      <c r="AC104" s="662"/>
      <c r="AD104" s="662"/>
      <c r="AE104" s="662"/>
      <c r="AF104" s="662">
        <v>8940</v>
      </c>
      <c r="AG104" s="662"/>
      <c r="AH104" s="662"/>
      <c r="AI104" s="662"/>
      <c r="AJ104" s="662"/>
      <c r="AK104" s="662"/>
      <c r="AL104" s="681">
        <v>8940</v>
      </c>
      <c r="AM104" s="808">
        <f>(V104+W104+X104+Y104+Z104+AB104+AC104+AD104+AE104+AF104+AG104+AH104+AI104+AJ104+AK104)-AL104</f>
        <v>0</v>
      </c>
      <c r="AN104" s="870" t="s">
        <v>309</v>
      </c>
    </row>
    <row r="105" spans="1:40" s="381" customFormat="1" ht="21.75" thickBot="1" x14ac:dyDescent="0.4">
      <c r="A105" s="667" t="s">
        <v>27</v>
      </c>
      <c r="B105" s="683">
        <v>4052</v>
      </c>
      <c r="C105" s="670" t="s">
        <v>180</v>
      </c>
      <c r="D105" s="679" t="s">
        <v>181</v>
      </c>
      <c r="E105" s="671"/>
      <c r="F105" s="816"/>
      <c r="G105" s="672"/>
      <c r="H105" s="672"/>
      <c r="I105" s="672"/>
      <c r="J105" s="673"/>
      <c r="K105" s="674"/>
      <c r="L105" s="661"/>
      <c r="M105" s="661"/>
      <c r="N105" s="661"/>
      <c r="O105" s="661"/>
      <c r="P105" s="661"/>
      <c r="Q105" s="661"/>
      <c r="R105" s="661"/>
      <c r="S105" s="661"/>
      <c r="T105" s="661"/>
      <c r="U105" s="855"/>
      <c r="V105" s="671"/>
      <c r="W105" s="672">
        <v>3500</v>
      </c>
      <c r="X105" s="672"/>
      <c r="Y105" s="672"/>
      <c r="Z105" s="672"/>
      <c r="AA105" s="673">
        <f>SUM(W105:Z105)</f>
        <v>3500</v>
      </c>
      <c r="AB105" s="674"/>
      <c r="AC105" s="661"/>
      <c r="AD105" s="661"/>
      <c r="AE105" s="661"/>
      <c r="AF105" s="661"/>
      <c r="AG105" s="661"/>
      <c r="AH105" s="661"/>
      <c r="AI105" s="661"/>
      <c r="AJ105" s="661"/>
      <c r="AK105" s="661"/>
      <c r="AL105" s="681">
        <f>3489+11</f>
        <v>3500</v>
      </c>
      <c r="AM105" s="677">
        <f>(V105+W105+X105+Y105+Z105+AB105+AC105+AD105+AE105+AF105+AG105+AH105+AI105+AJ105+AK105)-AL105</f>
        <v>0</v>
      </c>
      <c r="AN105" s="684" t="s">
        <v>505</v>
      </c>
    </row>
    <row r="106" spans="1:40" s="381" customFormat="1" ht="21.75" thickBot="1" x14ac:dyDescent="0.4">
      <c r="A106" s="404" t="s">
        <v>27</v>
      </c>
      <c r="B106" s="620">
        <v>4114</v>
      </c>
      <c r="C106" s="529" t="s">
        <v>198</v>
      </c>
      <c r="D106" s="422" t="s">
        <v>196</v>
      </c>
      <c r="E106" s="346"/>
      <c r="F106" s="822" t="s">
        <v>159</v>
      </c>
      <c r="G106" s="347" t="s">
        <v>159</v>
      </c>
      <c r="H106" s="347" t="s">
        <v>159</v>
      </c>
      <c r="I106" s="347">
        <f>Z106-AL106</f>
        <v>0</v>
      </c>
      <c r="J106" s="736">
        <f t="shared" ref="J106:J111" si="24">SUM(F106:I106)</f>
        <v>0</v>
      </c>
      <c r="K106" s="348">
        <v>0</v>
      </c>
      <c r="L106" s="405"/>
      <c r="M106" s="405"/>
      <c r="N106" s="405"/>
      <c r="O106" s="405"/>
      <c r="P106" s="405"/>
      <c r="Q106" s="405"/>
      <c r="R106" s="405"/>
      <c r="S106" s="405"/>
      <c r="T106" s="405"/>
      <c r="U106" s="855"/>
      <c r="V106" s="346"/>
      <c r="W106" s="347">
        <v>0</v>
      </c>
      <c r="X106" s="347"/>
      <c r="Y106" s="347"/>
      <c r="Z106" s="347">
        <v>21240</v>
      </c>
      <c r="AA106" s="736">
        <f t="shared" ref="AA106:AA111" si="25">SUM(W106:Z106)</f>
        <v>21240</v>
      </c>
      <c r="AB106" s="348"/>
      <c r="AC106" s="405"/>
      <c r="AD106" s="405"/>
      <c r="AE106" s="405"/>
      <c r="AF106" s="405"/>
      <c r="AG106" s="405"/>
      <c r="AH106" s="405"/>
      <c r="AI106" s="405"/>
      <c r="AJ106" s="405"/>
      <c r="AK106" s="405"/>
      <c r="AL106" s="349">
        <f>360+20880</f>
        <v>21240</v>
      </c>
      <c r="AM106" s="633">
        <f t="shared" ref="AM106:AM132" si="26">(V106+W106+X106+Y106+Z106+AB106+AC106+AD106+AE106+AF106+AG106+AH106+AI106+AJ106+AK106)-AL106</f>
        <v>0</v>
      </c>
      <c r="AN106" s="357" t="s">
        <v>222</v>
      </c>
    </row>
    <row r="107" spans="1:40" s="381" customFormat="1" ht="21.75" thickBot="1" x14ac:dyDescent="0.4">
      <c r="A107" s="864" t="s">
        <v>27</v>
      </c>
      <c r="B107" s="869">
        <v>4141</v>
      </c>
      <c r="C107" s="866" t="s">
        <v>201</v>
      </c>
      <c r="D107" s="887" t="s">
        <v>196</v>
      </c>
      <c r="E107" s="672"/>
      <c r="F107" s="816"/>
      <c r="G107" s="672"/>
      <c r="H107" s="672"/>
      <c r="I107" s="672"/>
      <c r="J107" s="673">
        <f t="shared" si="24"/>
        <v>0</v>
      </c>
      <c r="K107" s="674">
        <f t="shared" ref="K107:K113" si="27">AB107-AL107</f>
        <v>0</v>
      </c>
      <c r="L107" s="662"/>
      <c r="M107" s="662"/>
      <c r="N107" s="662"/>
      <c r="O107" s="662"/>
      <c r="P107" s="662"/>
      <c r="Q107" s="662"/>
      <c r="R107" s="662"/>
      <c r="S107" s="662"/>
      <c r="T107" s="662"/>
      <c r="U107" s="855"/>
      <c r="V107" s="672"/>
      <c r="W107" s="672"/>
      <c r="X107" s="672"/>
      <c r="Y107" s="672"/>
      <c r="Z107" s="672"/>
      <c r="AA107" s="673">
        <f t="shared" si="25"/>
        <v>0</v>
      </c>
      <c r="AB107" s="674">
        <v>1000000</v>
      </c>
      <c r="AC107" s="662"/>
      <c r="AD107" s="662"/>
      <c r="AE107" s="662"/>
      <c r="AF107" s="662"/>
      <c r="AG107" s="662"/>
      <c r="AH107" s="662"/>
      <c r="AI107" s="662"/>
      <c r="AJ107" s="662"/>
      <c r="AK107" s="807"/>
      <c r="AL107" s="676">
        <v>1000000</v>
      </c>
      <c r="AM107" s="888">
        <f t="shared" si="26"/>
        <v>0</v>
      </c>
      <c r="AN107" s="889" t="s">
        <v>308</v>
      </c>
    </row>
    <row r="108" spans="1:40" s="381" customFormat="1" ht="21.75" thickBot="1" x14ac:dyDescent="0.4">
      <c r="A108" s="864" t="s">
        <v>27</v>
      </c>
      <c r="B108" s="869">
        <v>4141</v>
      </c>
      <c r="C108" s="866" t="s">
        <v>201</v>
      </c>
      <c r="D108" s="887" t="s">
        <v>196</v>
      </c>
      <c r="E108" s="672"/>
      <c r="F108" s="816">
        <f>W108-AL108</f>
        <v>0</v>
      </c>
      <c r="G108" s="672"/>
      <c r="H108" s="672"/>
      <c r="I108" s="672"/>
      <c r="J108" s="673">
        <f t="shared" si="24"/>
        <v>0</v>
      </c>
      <c r="K108" s="674"/>
      <c r="L108" s="662"/>
      <c r="M108" s="662"/>
      <c r="N108" s="662"/>
      <c r="O108" s="662"/>
      <c r="P108" s="662"/>
      <c r="Q108" s="662"/>
      <c r="R108" s="662"/>
      <c r="S108" s="662"/>
      <c r="T108" s="662"/>
      <c r="U108" s="855"/>
      <c r="V108" s="672"/>
      <c r="W108" s="672">
        <v>25500</v>
      </c>
      <c r="X108" s="672"/>
      <c r="Y108" s="672"/>
      <c r="Z108" s="672"/>
      <c r="AA108" s="673">
        <f>SUM(W108:Z108)</f>
        <v>25500</v>
      </c>
      <c r="AB108" s="674"/>
      <c r="AC108" s="662"/>
      <c r="AD108" s="662"/>
      <c r="AE108" s="662"/>
      <c r="AF108" s="662"/>
      <c r="AG108" s="662"/>
      <c r="AH108" s="662"/>
      <c r="AI108" s="662"/>
      <c r="AJ108" s="662"/>
      <c r="AK108" s="807"/>
      <c r="AL108" s="676">
        <v>25500</v>
      </c>
      <c r="AM108" s="888">
        <f t="shared" si="26"/>
        <v>0</v>
      </c>
      <c r="AN108" s="889" t="s">
        <v>341</v>
      </c>
    </row>
    <row r="109" spans="1:40" s="381" customFormat="1" ht="21.75" thickBot="1" x14ac:dyDescent="0.4">
      <c r="A109" s="864" t="s">
        <v>27</v>
      </c>
      <c r="B109" s="869">
        <v>4141</v>
      </c>
      <c r="C109" s="866" t="s">
        <v>201</v>
      </c>
      <c r="D109" s="887" t="s">
        <v>196</v>
      </c>
      <c r="E109" s="672"/>
      <c r="F109" s="816"/>
      <c r="G109" s="672">
        <f>X109-AL109</f>
        <v>0</v>
      </c>
      <c r="H109" s="672"/>
      <c r="I109" s="672"/>
      <c r="J109" s="673">
        <f t="shared" si="24"/>
        <v>0</v>
      </c>
      <c r="K109" s="674"/>
      <c r="L109" s="662"/>
      <c r="M109" s="662"/>
      <c r="N109" s="662"/>
      <c r="O109" s="662"/>
      <c r="P109" s="662"/>
      <c r="Q109" s="662"/>
      <c r="R109" s="662"/>
      <c r="S109" s="662"/>
      <c r="T109" s="662"/>
      <c r="U109" s="855"/>
      <c r="V109" s="672"/>
      <c r="W109" s="672"/>
      <c r="X109" s="672">
        <v>24000</v>
      </c>
      <c r="Y109" s="672"/>
      <c r="Z109" s="672"/>
      <c r="AA109" s="673">
        <f t="shared" si="25"/>
        <v>24000</v>
      </c>
      <c r="AB109" s="674"/>
      <c r="AC109" s="662"/>
      <c r="AD109" s="662"/>
      <c r="AE109" s="662"/>
      <c r="AF109" s="662"/>
      <c r="AG109" s="662"/>
      <c r="AH109" s="662"/>
      <c r="AI109" s="662"/>
      <c r="AJ109" s="662"/>
      <c r="AK109" s="807"/>
      <c r="AL109" s="676">
        <v>24000</v>
      </c>
      <c r="AM109" s="888">
        <f t="shared" si="26"/>
        <v>0</v>
      </c>
      <c r="AN109" s="889" t="s">
        <v>342</v>
      </c>
    </row>
    <row r="110" spans="1:40" s="381" customFormat="1" ht="21.75" thickBot="1" x14ac:dyDescent="0.4">
      <c r="A110" s="864" t="s">
        <v>27</v>
      </c>
      <c r="B110" s="869">
        <v>4141</v>
      </c>
      <c r="C110" s="866" t="s">
        <v>201</v>
      </c>
      <c r="D110" s="887" t="s">
        <v>196</v>
      </c>
      <c r="E110" s="672"/>
      <c r="F110" s="816"/>
      <c r="G110" s="672"/>
      <c r="H110" s="672">
        <f>Y110-AL110</f>
        <v>0</v>
      </c>
      <c r="I110" s="672"/>
      <c r="J110" s="673">
        <f t="shared" si="24"/>
        <v>0</v>
      </c>
      <c r="K110" s="674"/>
      <c r="L110" s="662"/>
      <c r="M110" s="662"/>
      <c r="N110" s="662"/>
      <c r="O110" s="662"/>
      <c r="P110" s="662"/>
      <c r="Q110" s="662"/>
      <c r="R110" s="662"/>
      <c r="S110" s="662"/>
      <c r="T110" s="662"/>
      <c r="U110" s="855"/>
      <c r="V110" s="672"/>
      <c r="W110" s="672"/>
      <c r="X110" s="672"/>
      <c r="Y110" s="672">
        <v>19500</v>
      </c>
      <c r="Z110" s="672"/>
      <c r="AA110" s="673">
        <f t="shared" si="25"/>
        <v>19500</v>
      </c>
      <c r="AB110" s="674"/>
      <c r="AC110" s="662"/>
      <c r="AD110" s="662"/>
      <c r="AE110" s="662"/>
      <c r="AF110" s="662"/>
      <c r="AG110" s="662"/>
      <c r="AH110" s="662"/>
      <c r="AI110" s="662"/>
      <c r="AJ110" s="662"/>
      <c r="AK110" s="694"/>
      <c r="AL110" s="676">
        <v>19500</v>
      </c>
      <c r="AM110" s="888">
        <f t="shared" si="26"/>
        <v>0</v>
      </c>
      <c r="AN110" s="889" t="s">
        <v>343</v>
      </c>
    </row>
    <row r="111" spans="1:40" s="381" customFormat="1" ht="17.25" customHeight="1" thickBot="1" x14ac:dyDescent="0.4">
      <c r="A111" s="864" t="s">
        <v>27</v>
      </c>
      <c r="B111" s="869">
        <v>4141</v>
      </c>
      <c r="C111" s="866" t="s">
        <v>201</v>
      </c>
      <c r="D111" s="867" t="s">
        <v>196</v>
      </c>
      <c r="E111" s="671"/>
      <c r="F111" s="816"/>
      <c r="G111" s="672"/>
      <c r="H111" s="672"/>
      <c r="I111" s="672">
        <f>Z111-AL111</f>
        <v>0</v>
      </c>
      <c r="J111" s="673">
        <f t="shared" si="24"/>
        <v>0</v>
      </c>
      <c r="K111" s="674"/>
      <c r="L111" s="662"/>
      <c r="M111" s="662"/>
      <c r="N111" s="662"/>
      <c r="O111" s="662"/>
      <c r="P111" s="662"/>
      <c r="Q111" s="662"/>
      <c r="R111" s="662"/>
      <c r="S111" s="662"/>
      <c r="T111" s="662"/>
      <c r="U111" s="855"/>
      <c r="V111" s="672"/>
      <c r="W111" s="672"/>
      <c r="X111" s="672"/>
      <c r="Y111" s="672"/>
      <c r="Z111" s="672">
        <v>10500</v>
      </c>
      <c r="AA111" s="673">
        <f t="shared" si="25"/>
        <v>10500</v>
      </c>
      <c r="AB111" s="674"/>
      <c r="AC111" s="662"/>
      <c r="AD111" s="662"/>
      <c r="AE111" s="662"/>
      <c r="AF111" s="662"/>
      <c r="AG111" s="662"/>
      <c r="AH111" s="662"/>
      <c r="AI111" s="662"/>
      <c r="AJ111" s="662"/>
      <c r="AK111" s="694"/>
      <c r="AL111" s="676">
        <v>10500</v>
      </c>
      <c r="AM111" s="808">
        <f t="shared" si="26"/>
        <v>0</v>
      </c>
      <c r="AN111" s="889" t="s">
        <v>344</v>
      </c>
    </row>
    <row r="112" spans="1:40" s="381" customFormat="1" ht="18.75" customHeight="1" thickBot="1" x14ac:dyDescent="0.4">
      <c r="A112" s="709" t="s">
        <v>27</v>
      </c>
      <c r="B112" s="710">
        <v>4144</v>
      </c>
      <c r="C112" s="670" t="s">
        <v>206</v>
      </c>
      <c r="D112" s="679" t="s">
        <v>207</v>
      </c>
      <c r="E112" s="671"/>
      <c r="F112" s="816"/>
      <c r="G112" s="672"/>
      <c r="H112" s="672"/>
      <c r="I112" s="672"/>
      <c r="J112" s="673"/>
      <c r="K112" s="674">
        <f t="shared" si="27"/>
        <v>0</v>
      </c>
      <c r="L112" s="661"/>
      <c r="M112" s="661"/>
      <c r="N112" s="661"/>
      <c r="O112" s="661"/>
      <c r="P112" s="661"/>
      <c r="Q112" s="661"/>
      <c r="R112" s="661"/>
      <c r="S112" s="661"/>
      <c r="T112" s="661"/>
      <c r="U112" s="855"/>
      <c r="V112" s="672"/>
      <c r="W112" s="672"/>
      <c r="X112" s="672"/>
      <c r="Y112" s="672"/>
      <c r="Z112" s="672"/>
      <c r="AA112" s="673"/>
      <c r="AB112" s="674">
        <v>105000</v>
      </c>
      <c r="AC112" s="661"/>
      <c r="AD112" s="661"/>
      <c r="AE112" s="661"/>
      <c r="AF112" s="661"/>
      <c r="AG112" s="661"/>
      <c r="AH112" s="661"/>
      <c r="AI112" s="661"/>
      <c r="AJ112" s="661"/>
      <c r="AK112" s="675"/>
      <c r="AL112" s="676">
        <v>105000</v>
      </c>
      <c r="AM112" s="677">
        <f t="shared" si="26"/>
        <v>0</v>
      </c>
      <c r="AN112" s="711" t="s">
        <v>238</v>
      </c>
    </row>
    <row r="113" spans="1:40" s="381" customFormat="1" ht="21.75" thickBot="1" x14ac:dyDescent="0.4">
      <c r="A113" s="709" t="s">
        <v>27</v>
      </c>
      <c r="B113" s="710">
        <v>4147</v>
      </c>
      <c r="C113" s="670" t="s">
        <v>206</v>
      </c>
      <c r="D113" s="679" t="s">
        <v>204</v>
      </c>
      <c r="E113" s="671"/>
      <c r="F113" s="816"/>
      <c r="G113" s="672"/>
      <c r="H113" s="672"/>
      <c r="I113" s="672"/>
      <c r="J113" s="673"/>
      <c r="K113" s="674">
        <f t="shared" si="27"/>
        <v>0</v>
      </c>
      <c r="L113" s="661"/>
      <c r="M113" s="661"/>
      <c r="N113" s="661"/>
      <c r="O113" s="661"/>
      <c r="P113" s="661"/>
      <c r="Q113" s="661"/>
      <c r="R113" s="661"/>
      <c r="S113" s="661"/>
      <c r="T113" s="661"/>
      <c r="U113" s="855"/>
      <c r="V113" s="672"/>
      <c r="W113" s="672"/>
      <c r="X113" s="672"/>
      <c r="Y113" s="672"/>
      <c r="Z113" s="672"/>
      <c r="AA113" s="673"/>
      <c r="AB113" s="674">
        <v>150000</v>
      </c>
      <c r="AC113" s="661"/>
      <c r="AD113" s="661"/>
      <c r="AE113" s="661"/>
      <c r="AF113" s="661"/>
      <c r="AG113" s="661"/>
      <c r="AH113" s="661"/>
      <c r="AI113" s="661"/>
      <c r="AJ113" s="661"/>
      <c r="AK113" s="675"/>
      <c r="AL113" s="676">
        <v>150000</v>
      </c>
      <c r="AM113" s="677">
        <f t="shared" si="26"/>
        <v>0</v>
      </c>
      <c r="AN113" s="711" t="s">
        <v>239</v>
      </c>
    </row>
    <row r="114" spans="1:40" s="381" customFormat="1" ht="21.75" thickBot="1" x14ac:dyDescent="0.4">
      <c r="A114" s="709" t="s">
        <v>27</v>
      </c>
      <c r="B114" s="710">
        <v>4147</v>
      </c>
      <c r="C114" s="670" t="s">
        <v>206</v>
      </c>
      <c r="D114" s="679" t="s">
        <v>204</v>
      </c>
      <c r="E114" s="671"/>
      <c r="F114" s="816"/>
      <c r="G114" s="672"/>
      <c r="H114" s="672"/>
      <c r="I114" s="672"/>
      <c r="J114" s="673"/>
      <c r="K114" s="674"/>
      <c r="L114" s="661"/>
      <c r="M114" s="661"/>
      <c r="N114" s="661"/>
      <c r="O114" s="661"/>
      <c r="P114" s="661"/>
      <c r="Q114" s="661">
        <f>AH114-AL114</f>
        <v>0</v>
      </c>
      <c r="R114" s="661"/>
      <c r="S114" s="661"/>
      <c r="T114" s="661"/>
      <c r="U114" s="855"/>
      <c r="V114" s="672"/>
      <c r="W114" s="672"/>
      <c r="X114" s="672"/>
      <c r="Y114" s="672"/>
      <c r="Z114" s="672"/>
      <c r="AA114" s="673"/>
      <c r="AB114" s="674"/>
      <c r="AC114" s="661"/>
      <c r="AD114" s="661"/>
      <c r="AE114" s="661"/>
      <c r="AF114" s="661"/>
      <c r="AG114" s="661"/>
      <c r="AH114" s="661">
        <v>150000</v>
      </c>
      <c r="AI114" s="661"/>
      <c r="AJ114" s="661"/>
      <c r="AK114" s="675"/>
      <c r="AL114" s="676">
        <v>150000</v>
      </c>
      <c r="AM114" s="677">
        <f t="shared" si="26"/>
        <v>0</v>
      </c>
      <c r="AN114" s="711" t="s">
        <v>237</v>
      </c>
    </row>
    <row r="115" spans="1:40" s="381" customFormat="1" ht="21.75" thickBot="1" x14ac:dyDescent="0.4">
      <c r="A115" s="709" t="s">
        <v>27</v>
      </c>
      <c r="B115" s="710">
        <v>4148</v>
      </c>
      <c r="C115" s="670" t="s">
        <v>205</v>
      </c>
      <c r="D115" s="679" t="s">
        <v>204</v>
      </c>
      <c r="E115" s="671">
        <f>V115-AL115</f>
        <v>0</v>
      </c>
      <c r="F115" s="816"/>
      <c r="G115" s="672"/>
      <c r="H115" s="672"/>
      <c r="I115" s="672"/>
      <c r="J115" s="673"/>
      <c r="K115" s="674"/>
      <c r="L115" s="661"/>
      <c r="M115" s="661"/>
      <c r="N115" s="661"/>
      <c r="O115" s="661"/>
      <c r="P115" s="661"/>
      <c r="Q115" s="661"/>
      <c r="R115" s="661"/>
      <c r="S115" s="661"/>
      <c r="T115" s="661"/>
      <c r="U115" s="855"/>
      <c r="V115" s="672">
        <v>250000</v>
      </c>
      <c r="W115" s="672"/>
      <c r="X115" s="672"/>
      <c r="Y115" s="672"/>
      <c r="Z115" s="672"/>
      <c r="AA115" s="673"/>
      <c r="AB115" s="674"/>
      <c r="AC115" s="661"/>
      <c r="AD115" s="661"/>
      <c r="AE115" s="661"/>
      <c r="AF115" s="661"/>
      <c r="AG115" s="661"/>
      <c r="AH115" s="661"/>
      <c r="AI115" s="661"/>
      <c r="AJ115" s="661"/>
      <c r="AK115" s="675"/>
      <c r="AL115" s="676">
        <v>250000</v>
      </c>
      <c r="AM115" s="677">
        <f t="shared" si="26"/>
        <v>0</v>
      </c>
      <c r="AN115" s="711" t="s">
        <v>250</v>
      </c>
    </row>
    <row r="116" spans="1:40" s="381" customFormat="1" ht="21.75" thickBot="1" x14ac:dyDescent="0.4">
      <c r="A116" s="864" t="s">
        <v>27</v>
      </c>
      <c r="B116" s="869">
        <v>4149</v>
      </c>
      <c r="C116" s="866" t="s">
        <v>205</v>
      </c>
      <c r="D116" s="867" t="s">
        <v>204</v>
      </c>
      <c r="E116" s="671"/>
      <c r="F116" s="816"/>
      <c r="G116" s="672"/>
      <c r="H116" s="672"/>
      <c r="I116" s="672"/>
      <c r="J116" s="673"/>
      <c r="K116" s="674">
        <f>AB116-AL116</f>
        <v>0</v>
      </c>
      <c r="L116" s="662"/>
      <c r="M116" s="662"/>
      <c r="N116" s="662"/>
      <c r="O116" s="662"/>
      <c r="P116" s="662"/>
      <c r="Q116" s="662"/>
      <c r="R116" s="662"/>
      <c r="S116" s="662"/>
      <c r="T116" s="662"/>
      <c r="U116" s="855"/>
      <c r="V116" s="672"/>
      <c r="W116" s="672"/>
      <c r="X116" s="672"/>
      <c r="Y116" s="672"/>
      <c r="Z116" s="672"/>
      <c r="AA116" s="673"/>
      <c r="AB116" s="674">
        <v>435800</v>
      </c>
      <c r="AC116" s="662"/>
      <c r="AD116" s="662"/>
      <c r="AE116" s="662"/>
      <c r="AF116" s="662"/>
      <c r="AG116" s="662"/>
      <c r="AH116" s="662"/>
      <c r="AI116" s="662"/>
      <c r="AJ116" s="662"/>
      <c r="AK116" s="694"/>
      <c r="AL116" s="676">
        <v>435800</v>
      </c>
      <c r="AM116" s="808">
        <f t="shared" si="26"/>
        <v>0</v>
      </c>
      <c r="AN116" s="871" t="s">
        <v>306</v>
      </c>
    </row>
    <row r="117" spans="1:40" s="381" customFormat="1" ht="21.75" thickBot="1" x14ac:dyDescent="0.4">
      <c r="A117" s="864" t="s">
        <v>27</v>
      </c>
      <c r="B117" s="869">
        <v>4150</v>
      </c>
      <c r="C117" s="866" t="s">
        <v>209</v>
      </c>
      <c r="D117" s="867" t="s">
        <v>208</v>
      </c>
      <c r="E117" s="671"/>
      <c r="F117" s="816"/>
      <c r="G117" s="672"/>
      <c r="H117" s="672"/>
      <c r="I117" s="672"/>
      <c r="J117" s="673"/>
      <c r="K117" s="674"/>
      <c r="L117" s="662">
        <f>AC117-AL117</f>
        <v>0</v>
      </c>
      <c r="M117" s="662"/>
      <c r="N117" s="662"/>
      <c r="O117" s="662"/>
      <c r="P117" s="662"/>
      <c r="Q117" s="662"/>
      <c r="R117" s="662"/>
      <c r="S117" s="662"/>
      <c r="T117" s="662"/>
      <c r="U117" s="855"/>
      <c r="V117" s="672"/>
      <c r="W117" s="672"/>
      <c r="X117" s="672"/>
      <c r="Y117" s="672"/>
      <c r="Z117" s="672"/>
      <c r="AA117" s="673"/>
      <c r="AB117" s="674"/>
      <c r="AC117" s="662">
        <v>300000</v>
      </c>
      <c r="AD117" s="662"/>
      <c r="AE117" s="662"/>
      <c r="AF117" s="662"/>
      <c r="AG117" s="662"/>
      <c r="AH117" s="662"/>
      <c r="AI117" s="662"/>
      <c r="AJ117" s="662"/>
      <c r="AK117" s="694"/>
      <c r="AL117" s="676">
        <v>300000</v>
      </c>
      <c r="AM117" s="808">
        <f t="shared" si="26"/>
        <v>0</v>
      </c>
      <c r="AN117" s="871" t="s">
        <v>307</v>
      </c>
    </row>
    <row r="118" spans="1:40" s="381" customFormat="1" ht="21.75" thickBot="1" x14ac:dyDescent="0.4">
      <c r="A118" s="709" t="s">
        <v>27</v>
      </c>
      <c r="B118" s="710">
        <v>4156</v>
      </c>
      <c r="C118" s="670" t="s">
        <v>219</v>
      </c>
      <c r="D118" s="679" t="s">
        <v>208</v>
      </c>
      <c r="E118" s="671">
        <f>V118-AL118</f>
        <v>0</v>
      </c>
      <c r="F118" s="816"/>
      <c r="G118" s="672"/>
      <c r="H118" s="672"/>
      <c r="I118" s="672"/>
      <c r="J118" s="673"/>
      <c r="K118" s="674"/>
      <c r="L118" s="661"/>
      <c r="M118" s="661"/>
      <c r="N118" s="661"/>
      <c r="O118" s="661"/>
      <c r="P118" s="661"/>
      <c r="Q118" s="661"/>
      <c r="R118" s="661"/>
      <c r="S118" s="661"/>
      <c r="T118" s="661"/>
      <c r="U118" s="855"/>
      <c r="V118" s="672">
        <v>125000</v>
      </c>
      <c r="W118" s="672"/>
      <c r="X118" s="672"/>
      <c r="Y118" s="672"/>
      <c r="Z118" s="672"/>
      <c r="AA118" s="673"/>
      <c r="AB118" s="674"/>
      <c r="AC118" s="661"/>
      <c r="AD118" s="661"/>
      <c r="AE118" s="661"/>
      <c r="AF118" s="661"/>
      <c r="AG118" s="661"/>
      <c r="AH118" s="661"/>
      <c r="AI118" s="661"/>
      <c r="AJ118" s="661"/>
      <c r="AK118" s="675"/>
      <c r="AL118" s="676">
        <v>125000</v>
      </c>
      <c r="AM118" s="677">
        <f>(V118+W118+X118+Y118+Z118+AB118+AC118+AD118+AE118+AF118+AG118+AH118+AI118+AJ118+AK118)-AL118</f>
        <v>0</v>
      </c>
      <c r="AN118" s="711" t="s">
        <v>250</v>
      </c>
    </row>
    <row r="119" spans="1:40" s="381" customFormat="1" ht="21.75" thickBot="1" x14ac:dyDescent="0.4">
      <c r="A119" s="864" t="s">
        <v>27</v>
      </c>
      <c r="B119" s="869">
        <v>4179</v>
      </c>
      <c r="C119" s="866" t="s">
        <v>284</v>
      </c>
      <c r="D119" s="867" t="s">
        <v>285</v>
      </c>
      <c r="E119" s="671"/>
      <c r="F119" s="816">
        <f>W119-AL119</f>
        <v>0</v>
      </c>
      <c r="G119" s="672"/>
      <c r="H119" s="672"/>
      <c r="I119" s="672"/>
      <c r="J119" s="673">
        <f t="shared" ref="J119:J129" si="28">SUM(F119:I119)</f>
        <v>0</v>
      </c>
      <c r="K119" s="674"/>
      <c r="L119" s="662"/>
      <c r="M119" s="662"/>
      <c r="N119" s="662"/>
      <c r="O119" s="662"/>
      <c r="P119" s="662"/>
      <c r="Q119" s="662"/>
      <c r="R119" s="662"/>
      <c r="S119" s="662"/>
      <c r="T119" s="662"/>
      <c r="U119" s="855"/>
      <c r="V119" s="672"/>
      <c r="W119" s="672">
        <v>10500</v>
      </c>
      <c r="X119" s="672"/>
      <c r="Y119" s="672"/>
      <c r="Z119" s="672"/>
      <c r="AA119" s="673"/>
      <c r="AB119" s="674"/>
      <c r="AC119" s="662"/>
      <c r="AD119" s="662"/>
      <c r="AE119" s="662"/>
      <c r="AF119" s="662"/>
      <c r="AG119" s="662"/>
      <c r="AH119" s="662"/>
      <c r="AI119" s="662"/>
      <c r="AJ119" s="662"/>
      <c r="AK119" s="694"/>
      <c r="AL119" s="676">
        <f>1800+8700</f>
        <v>10500</v>
      </c>
      <c r="AM119" s="808">
        <f t="shared" si="26"/>
        <v>0</v>
      </c>
      <c r="AN119" s="871" t="s">
        <v>415</v>
      </c>
    </row>
    <row r="120" spans="1:40" s="381" customFormat="1" ht="21.75" thickBot="1" x14ac:dyDescent="0.4">
      <c r="A120" s="709" t="s">
        <v>27</v>
      </c>
      <c r="B120" s="710">
        <v>4179</v>
      </c>
      <c r="C120" s="866" t="s">
        <v>284</v>
      </c>
      <c r="D120" s="867" t="s">
        <v>285</v>
      </c>
      <c r="E120" s="671"/>
      <c r="F120" s="816"/>
      <c r="G120" s="672">
        <f>X120-AL120</f>
        <v>0</v>
      </c>
      <c r="H120" s="672"/>
      <c r="I120" s="672"/>
      <c r="J120" s="673">
        <f t="shared" si="28"/>
        <v>0</v>
      </c>
      <c r="K120" s="674"/>
      <c r="L120" s="661"/>
      <c r="M120" s="661"/>
      <c r="N120" s="661"/>
      <c r="O120" s="661"/>
      <c r="P120" s="661"/>
      <c r="Q120" s="661"/>
      <c r="R120" s="661"/>
      <c r="S120" s="661"/>
      <c r="T120" s="661"/>
      <c r="U120" s="855"/>
      <c r="V120" s="672"/>
      <c r="W120" s="672"/>
      <c r="X120" s="672">
        <v>17100</v>
      </c>
      <c r="Y120" s="672"/>
      <c r="Z120" s="672"/>
      <c r="AA120" s="673"/>
      <c r="AB120" s="674"/>
      <c r="AC120" s="661"/>
      <c r="AD120" s="661"/>
      <c r="AE120" s="661"/>
      <c r="AF120" s="661"/>
      <c r="AG120" s="661"/>
      <c r="AH120" s="661"/>
      <c r="AI120" s="661"/>
      <c r="AJ120" s="661"/>
      <c r="AK120" s="675"/>
      <c r="AL120" s="676">
        <v>17100</v>
      </c>
      <c r="AM120" s="677">
        <f t="shared" si="26"/>
        <v>0</v>
      </c>
      <c r="AN120" s="871" t="s">
        <v>365</v>
      </c>
    </row>
    <row r="121" spans="1:40" s="381" customFormat="1" ht="21.75" thickBot="1" x14ac:dyDescent="0.4">
      <c r="A121" s="864" t="s">
        <v>27</v>
      </c>
      <c r="B121" s="869">
        <v>4179</v>
      </c>
      <c r="C121" s="866" t="s">
        <v>284</v>
      </c>
      <c r="D121" s="867" t="s">
        <v>285</v>
      </c>
      <c r="E121" s="671"/>
      <c r="F121" s="816"/>
      <c r="G121" s="672"/>
      <c r="H121" s="672">
        <f>Y121-AL121</f>
        <v>0</v>
      </c>
      <c r="I121" s="672"/>
      <c r="J121" s="672">
        <f t="shared" si="28"/>
        <v>0</v>
      </c>
      <c r="K121" s="674"/>
      <c r="L121" s="662"/>
      <c r="M121" s="662"/>
      <c r="N121" s="662"/>
      <c r="O121" s="662"/>
      <c r="P121" s="662"/>
      <c r="Q121" s="662"/>
      <c r="R121" s="662"/>
      <c r="S121" s="662"/>
      <c r="T121" s="662"/>
      <c r="U121" s="855"/>
      <c r="V121" s="672"/>
      <c r="W121" s="672"/>
      <c r="X121" s="672"/>
      <c r="Y121" s="672">
        <v>19650</v>
      </c>
      <c r="Z121" s="672"/>
      <c r="AA121" s="672"/>
      <c r="AB121" s="674"/>
      <c r="AC121" s="662"/>
      <c r="AD121" s="662"/>
      <c r="AE121" s="662"/>
      <c r="AF121" s="662"/>
      <c r="AG121" s="662"/>
      <c r="AH121" s="662"/>
      <c r="AI121" s="662"/>
      <c r="AJ121" s="662"/>
      <c r="AK121" s="694"/>
      <c r="AL121" s="676">
        <f>8220+9990+1440</f>
        <v>19650</v>
      </c>
      <c r="AM121" s="808">
        <f t="shared" si="26"/>
        <v>0</v>
      </c>
      <c r="AN121" s="871" t="s">
        <v>593</v>
      </c>
    </row>
    <row r="122" spans="1:40" s="381" customFormat="1" ht="21.75" thickBot="1" x14ac:dyDescent="0.4">
      <c r="A122" s="709" t="s">
        <v>27</v>
      </c>
      <c r="B122" s="710">
        <v>4179</v>
      </c>
      <c r="C122" s="866" t="s">
        <v>284</v>
      </c>
      <c r="D122" s="867" t="s">
        <v>285</v>
      </c>
      <c r="E122" s="671"/>
      <c r="F122" s="816"/>
      <c r="G122" s="672"/>
      <c r="H122" s="672"/>
      <c r="I122" s="672">
        <f>Z122-AL122</f>
        <v>0</v>
      </c>
      <c r="J122" s="673">
        <f t="shared" si="28"/>
        <v>0</v>
      </c>
      <c r="K122" s="674"/>
      <c r="L122" s="661"/>
      <c r="M122" s="661"/>
      <c r="N122" s="661"/>
      <c r="O122" s="661"/>
      <c r="P122" s="661"/>
      <c r="Q122" s="661"/>
      <c r="R122" s="661"/>
      <c r="S122" s="661"/>
      <c r="T122" s="661"/>
      <c r="U122" s="855"/>
      <c r="V122" s="672"/>
      <c r="W122" s="672"/>
      <c r="X122" s="672"/>
      <c r="Y122" s="672"/>
      <c r="Z122" s="672">
        <v>16950</v>
      </c>
      <c r="AA122" s="673"/>
      <c r="AB122" s="674"/>
      <c r="AC122" s="661"/>
      <c r="AD122" s="661"/>
      <c r="AE122" s="661"/>
      <c r="AF122" s="661"/>
      <c r="AG122" s="661"/>
      <c r="AH122" s="661"/>
      <c r="AI122" s="661"/>
      <c r="AJ122" s="661"/>
      <c r="AK122" s="675"/>
      <c r="AL122" s="676">
        <v>16950</v>
      </c>
      <c r="AM122" s="677">
        <f t="shared" si="26"/>
        <v>0</v>
      </c>
      <c r="AN122" s="871" t="s">
        <v>365</v>
      </c>
    </row>
    <row r="123" spans="1:40" s="902" customFormat="1" ht="21.75" thickBot="1" x14ac:dyDescent="0.4">
      <c r="A123" s="709" t="s">
        <v>27</v>
      </c>
      <c r="B123" s="710">
        <v>4193</v>
      </c>
      <c r="C123" s="1140" t="s">
        <v>334</v>
      </c>
      <c r="D123" s="994" t="s">
        <v>336</v>
      </c>
      <c r="E123" s="995"/>
      <c r="F123" s="989">
        <f>W123-AL123</f>
        <v>0</v>
      </c>
      <c r="G123" s="980"/>
      <c r="H123" s="980"/>
      <c r="I123" s="980"/>
      <c r="J123" s="673">
        <f t="shared" si="28"/>
        <v>0</v>
      </c>
      <c r="K123" s="982"/>
      <c r="L123" s="983"/>
      <c r="M123" s="983"/>
      <c r="N123" s="983"/>
      <c r="O123" s="983"/>
      <c r="P123" s="983"/>
      <c r="Q123" s="983"/>
      <c r="R123" s="983"/>
      <c r="S123" s="983"/>
      <c r="T123" s="983"/>
      <c r="U123" s="855"/>
      <c r="V123" s="980"/>
      <c r="W123" s="980">
        <v>28500</v>
      </c>
      <c r="X123" s="980"/>
      <c r="Y123" s="980"/>
      <c r="Z123" s="980"/>
      <c r="AA123" s="980"/>
      <c r="AB123" s="982"/>
      <c r="AC123" s="983"/>
      <c r="AD123" s="983"/>
      <c r="AE123" s="983"/>
      <c r="AF123" s="983"/>
      <c r="AG123" s="983"/>
      <c r="AH123" s="983"/>
      <c r="AI123" s="983"/>
      <c r="AJ123" s="983"/>
      <c r="AK123" s="1141"/>
      <c r="AL123" s="986">
        <v>28500</v>
      </c>
      <c r="AM123" s="987">
        <f t="shared" si="26"/>
        <v>0</v>
      </c>
      <c r="AN123" s="1142" t="s">
        <v>527</v>
      </c>
    </row>
    <row r="124" spans="1:40" s="381" customFormat="1" ht="21.75" thickBot="1" x14ac:dyDescent="0.4">
      <c r="A124" s="709" t="s">
        <v>27</v>
      </c>
      <c r="B124" s="710">
        <v>4193</v>
      </c>
      <c r="C124" s="1140" t="s">
        <v>334</v>
      </c>
      <c r="D124" s="994" t="s">
        <v>336</v>
      </c>
      <c r="E124" s="995"/>
      <c r="F124" s="989"/>
      <c r="G124" s="980">
        <f>X124-AL124</f>
        <v>0</v>
      </c>
      <c r="H124" s="980"/>
      <c r="I124" s="980"/>
      <c r="J124" s="673">
        <f t="shared" si="28"/>
        <v>0</v>
      </c>
      <c r="K124" s="982"/>
      <c r="L124" s="983"/>
      <c r="M124" s="983"/>
      <c r="N124" s="983"/>
      <c r="O124" s="983"/>
      <c r="P124" s="983"/>
      <c r="Q124" s="983"/>
      <c r="R124" s="983"/>
      <c r="S124" s="983"/>
      <c r="T124" s="983"/>
      <c r="U124" s="855"/>
      <c r="V124" s="980"/>
      <c r="W124" s="980"/>
      <c r="X124" s="980">
        <v>27750</v>
      </c>
      <c r="Y124" s="980"/>
      <c r="Z124" s="980"/>
      <c r="AA124" s="980"/>
      <c r="AB124" s="982"/>
      <c r="AC124" s="983"/>
      <c r="AD124" s="983"/>
      <c r="AE124" s="983"/>
      <c r="AF124" s="983"/>
      <c r="AG124" s="983"/>
      <c r="AH124" s="983"/>
      <c r="AI124" s="983"/>
      <c r="AJ124" s="983"/>
      <c r="AK124" s="1141"/>
      <c r="AL124" s="986">
        <v>27750</v>
      </c>
      <c r="AM124" s="987">
        <f t="shared" si="26"/>
        <v>0</v>
      </c>
      <c r="AN124" s="1142" t="s">
        <v>527</v>
      </c>
    </row>
    <row r="125" spans="1:40" s="381" customFormat="1" ht="21.75" thickBot="1" x14ac:dyDescent="0.4">
      <c r="A125" s="709" t="s">
        <v>27</v>
      </c>
      <c r="B125" s="710">
        <v>4193</v>
      </c>
      <c r="C125" s="1140" t="s">
        <v>334</v>
      </c>
      <c r="D125" s="994" t="s">
        <v>336</v>
      </c>
      <c r="E125" s="995"/>
      <c r="F125" s="989"/>
      <c r="G125" s="980"/>
      <c r="H125" s="980">
        <f>Y125-AL125</f>
        <v>0</v>
      </c>
      <c r="I125" s="980"/>
      <c r="J125" s="673">
        <f t="shared" si="28"/>
        <v>0</v>
      </c>
      <c r="K125" s="982"/>
      <c r="L125" s="983"/>
      <c r="M125" s="983"/>
      <c r="N125" s="983"/>
      <c r="O125" s="983"/>
      <c r="P125" s="983"/>
      <c r="Q125" s="983"/>
      <c r="R125" s="983"/>
      <c r="S125" s="983"/>
      <c r="T125" s="983"/>
      <c r="U125" s="855"/>
      <c r="V125" s="980"/>
      <c r="W125" s="980"/>
      <c r="X125" s="980"/>
      <c r="Y125" s="980">
        <v>27810</v>
      </c>
      <c r="Z125" s="980"/>
      <c r="AA125" s="980"/>
      <c r="AB125" s="982"/>
      <c r="AC125" s="983"/>
      <c r="AD125" s="983"/>
      <c r="AE125" s="983"/>
      <c r="AF125" s="983"/>
      <c r="AG125" s="983"/>
      <c r="AH125" s="983"/>
      <c r="AI125" s="983"/>
      <c r="AJ125" s="983"/>
      <c r="AK125" s="1141"/>
      <c r="AL125" s="986">
        <v>27810</v>
      </c>
      <c r="AM125" s="987">
        <f t="shared" si="26"/>
        <v>0</v>
      </c>
      <c r="AN125" s="1142" t="s">
        <v>527</v>
      </c>
    </row>
    <row r="126" spans="1:40" s="381" customFormat="1" ht="21.75" thickBot="1" x14ac:dyDescent="0.4">
      <c r="A126" s="709" t="s">
        <v>27</v>
      </c>
      <c r="B126" s="710">
        <v>4193</v>
      </c>
      <c r="C126" s="1140" t="s">
        <v>334</v>
      </c>
      <c r="D126" s="994" t="s">
        <v>336</v>
      </c>
      <c r="E126" s="995"/>
      <c r="F126" s="989"/>
      <c r="G126" s="980"/>
      <c r="H126" s="980"/>
      <c r="I126" s="980">
        <f>Z126-AL126</f>
        <v>0</v>
      </c>
      <c r="J126" s="673">
        <f t="shared" si="28"/>
        <v>0</v>
      </c>
      <c r="K126" s="982"/>
      <c r="L126" s="983"/>
      <c r="M126" s="983"/>
      <c r="N126" s="983"/>
      <c r="O126" s="983"/>
      <c r="P126" s="983"/>
      <c r="Q126" s="983"/>
      <c r="R126" s="983"/>
      <c r="S126" s="983"/>
      <c r="T126" s="983"/>
      <c r="U126" s="855"/>
      <c r="V126" s="980"/>
      <c r="W126" s="980"/>
      <c r="X126" s="980"/>
      <c r="Y126" s="980"/>
      <c r="Z126" s="980">
        <v>37500</v>
      </c>
      <c r="AA126" s="980"/>
      <c r="AB126" s="982"/>
      <c r="AC126" s="983"/>
      <c r="AD126" s="983"/>
      <c r="AE126" s="983"/>
      <c r="AF126" s="983"/>
      <c r="AG126" s="983"/>
      <c r="AH126" s="983"/>
      <c r="AI126" s="983"/>
      <c r="AJ126" s="983"/>
      <c r="AK126" s="1141"/>
      <c r="AL126" s="986">
        <v>37500</v>
      </c>
      <c r="AM126" s="987">
        <f t="shared" si="26"/>
        <v>0</v>
      </c>
      <c r="AN126" s="1142" t="s">
        <v>527</v>
      </c>
    </row>
    <row r="127" spans="1:40" s="381" customFormat="1" ht="21.75" thickBot="1" x14ac:dyDescent="0.4">
      <c r="A127" s="864" t="s">
        <v>27</v>
      </c>
      <c r="B127" s="869">
        <v>4194</v>
      </c>
      <c r="C127" s="866" t="s">
        <v>334</v>
      </c>
      <c r="D127" s="867" t="s">
        <v>336</v>
      </c>
      <c r="E127" s="671"/>
      <c r="F127" s="816"/>
      <c r="G127" s="672"/>
      <c r="H127" s="672"/>
      <c r="I127" s="672"/>
      <c r="J127" s="673">
        <f t="shared" si="28"/>
        <v>0</v>
      </c>
      <c r="K127" s="674"/>
      <c r="L127" s="662"/>
      <c r="M127" s="662">
        <f>AD127-AL127</f>
        <v>0</v>
      </c>
      <c r="N127" s="662"/>
      <c r="O127" s="662"/>
      <c r="P127" s="662"/>
      <c r="Q127" s="662"/>
      <c r="R127" s="662"/>
      <c r="S127" s="662"/>
      <c r="T127" s="662"/>
      <c r="U127" s="855"/>
      <c r="V127" s="672"/>
      <c r="W127" s="672"/>
      <c r="X127" s="672"/>
      <c r="Y127" s="672"/>
      <c r="Z127" s="672"/>
      <c r="AA127" s="673"/>
      <c r="AB127" s="674"/>
      <c r="AC127" s="662"/>
      <c r="AD127" s="662">
        <v>30000</v>
      </c>
      <c r="AE127" s="662"/>
      <c r="AF127" s="662"/>
      <c r="AG127" s="662"/>
      <c r="AH127" s="662"/>
      <c r="AI127" s="662"/>
      <c r="AJ127" s="662"/>
      <c r="AK127" s="694"/>
      <c r="AL127" s="676">
        <v>30000</v>
      </c>
      <c r="AM127" s="808">
        <f t="shared" si="26"/>
        <v>0</v>
      </c>
      <c r="AN127" s="871" t="s">
        <v>416</v>
      </c>
    </row>
    <row r="128" spans="1:40" s="381" customFormat="1" ht="21.75" thickBot="1" x14ac:dyDescent="0.4">
      <c r="A128" s="864" t="s">
        <v>27</v>
      </c>
      <c r="B128" s="869">
        <v>4194</v>
      </c>
      <c r="C128" s="866" t="s">
        <v>334</v>
      </c>
      <c r="D128" s="867" t="s">
        <v>336</v>
      </c>
      <c r="E128" s="671"/>
      <c r="F128" s="816"/>
      <c r="G128" s="672"/>
      <c r="H128" s="672"/>
      <c r="I128" s="672"/>
      <c r="J128" s="673">
        <f t="shared" si="28"/>
        <v>0</v>
      </c>
      <c r="K128" s="674"/>
      <c r="L128" s="662"/>
      <c r="M128" s="662"/>
      <c r="N128" s="662">
        <f>AE128-AL128</f>
        <v>0</v>
      </c>
      <c r="O128" s="662"/>
      <c r="P128" s="662"/>
      <c r="Q128" s="662"/>
      <c r="R128" s="662"/>
      <c r="S128" s="662"/>
      <c r="T128" s="662"/>
      <c r="U128" s="855"/>
      <c r="V128" s="672"/>
      <c r="W128" s="672"/>
      <c r="X128" s="672"/>
      <c r="Y128" s="672"/>
      <c r="Z128" s="672"/>
      <c r="AA128" s="673"/>
      <c r="AB128" s="674"/>
      <c r="AC128" s="662"/>
      <c r="AD128" s="662"/>
      <c r="AE128" s="662">
        <v>30000</v>
      </c>
      <c r="AF128" s="662"/>
      <c r="AG128" s="662"/>
      <c r="AH128" s="662"/>
      <c r="AI128" s="662"/>
      <c r="AJ128" s="662"/>
      <c r="AK128" s="694"/>
      <c r="AL128" s="676">
        <v>30000</v>
      </c>
      <c r="AM128" s="808">
        <f t="shared" si="26"/>
        <v>0</v>
      </c>
      <c r="AN128" s="871" t="s">
        <v>417</v>
      </c>
    </row>
    <row r="129" spans="1:40" s="381" customFormat="1" ht="21.75" thickBot="1" x14ac:dyDescent="0.4">
      <c r="A129" s="864" t="s">
        <v>27</v>
      </c>
      <c r="B129" s="869">
        <v>4195</v>
      </c>
      <c r="C129" s="866" t="s">
        <v>334</v>
      </c>
      <c r="D129" s="867" t="s">
        <v>336</v>
      </c>
      <c r="E129" s="671">
        <f>V129-AL129</f>
        <v>0</v>
      </c>
      <c r="F129" s="816"/>
      <c r="G129" s="672"/>
      <c r="H129" s="672"/>
      <c r="I129" s="672"/>
      <c r="J129" s="673">
        <f t="shared" si="28"/>
        <v>0</v>
      </c>
      <c r="K129" s="674"/>
      <c r="L129" s="662"/>
      <c r="M129" s="662"/>
      <c r="N129" s="662"/>
      <c r="O129" s="662"/>
      <c r="P129" s="662"/>
      <c r="Q129" s="662"/>
      <c r="R129" s="662"/>
      <c r="S129" s="662"/>
      <c r="T129" s="662"/>
      <c r="U129" s="855"/>
      <c r="V129" s="672">
        <v>125000</v>
      </c>
      <c r="W129" s="672"/>
      <c r="X129" s="672"/>
      <c r="Y129" s="672"/>
      <c r="Z129" s="672"/>
      <c r="AA129" s="672"/>
      <c r="AB129" s="674"/>
      <c r="AC129" s="662"/>
      <c r="AD129" s="662"/>
      <c r="AE129" s="662"/>
      <c r="AF129" s="662"/>
      <c r="AG129" s="662"/>
      <c r="AH129" s="662"/>
      <c r="AI129" s="662"/>
      <c r="AJ129" s="662"/>
      <c r="AK129" s="694"/>
      <c r="AL129" s="676">
        <v>125000</v>
      </c>
      <c r="AM129" s="808">
        <f t="shared" si="26"/>
        <v>0</v>
      </c>
      <c r="AN129" s="871" t="s">
        <v>521</v>
      </c>
    </row>
    <row r="130" spans="1:40" s="381" customFormat="1" ht="21.75" thickBot="1" x14ac:dyDescent="0.4">
      <c r="A130" s="864" t="s">
        <v>27</v>
      </c>
      <c r="B130" s="869">
        <v>4199</v>
      </c>
      <c r="C130" s="866" t="s">
        <v>390</v>
      </c>
      <c r="D130" s="867" t="s">
        <v>392</v>
      </c>
      <c r="E130" s="671">
        <f>V130-AL130</f>
        <v>0</v>
      </c>
      <c r="F130" s="816"/>
      <c r="G130" s="672"/>
      <c r="H130" s="672"/>
      <c r="I130" s="672"/>
      <c r="J130" s="673"/>
      <c r="K130" s="674"/>
      <c r="L130" s="662"/>
      <c r="M130" s="662"/>
      <c r="N130" s="662"/>
      <c r="O130" s="662"/>
      <c r="P130" s="662"/>
      <c r="Q130" s="662"/>
      <c r="R130" s="662"/>
      <c r="S130" s="662"/>
      <c r="T130" s="662"/>
      <c r="U130" s="855"/>
      <c r="V130" s="672">
        <v>125000</v>
      </c>
      <c r="W130" s="672"/>
      <c r="X130" s="672"/>
      <c r="Y130" s="672"/>
      <c r="Z130" s="672"/>
      <c r="AA130" s="672"/>
      <c r="AB130" s="674"/>
      <c r="AC130" s="662"/>
      <c r="AD130" s="662"/>
      <c r="AE130" s="662"/>
      <c r="AF130" s="662"/>
      <c r="AG130" s="662"/>
      <c r="AH130" s="662"/>
      <c r="AI130" s="662"/>
      <c r="AJ130" s="662"/>
      <c r="AK130" s="694"/>
      <c r="AL130" s="676">
        <v>125000</v>
      </c>
      <c r="AM130" s="808">
        <f t="shared" si="26"/>
        <v>0</v>
      </c>
      <c r="AN130" s="871" t="s">
        <v>522</v>
      </c>
    </row>
    <row r="131" spans="1:40" s="381" customFormat="1" ht="21.75" thickBot="1" x14ac:dyDescent="0.4">
      <c r="A131" s="709" t="s">
        <v>27</v>
      </c>
      <c r="B131" s="864">
        <v>4208</v>
      </c>
      <c r="C131" s="923" t="s">
        <v>426</v>
      </c>
      <c r="D131" s="882" t="s">
        <v>335</v>
      </c>
      <c r="E131" s="1024"/>
      <c r="F131" s="816"/>
      <c r="G131" s="672"/>
      <c r="H131" s="672"/>
      <c r="I131" s="672"/>
      <c r="J131" s="673"/>
      <c r="K131" s="674"/>
      <c r="L131" s="662"/>
      <c r="M131" s="662">
        <f>AD131-AL131</f>
        <v>0</v>
      </c>
      <c r="N131" s="662"/>
      <c r="O131" s="662"/>
      <c r="P131" s="662"/>
      <c r="Q131" s="662"/>
      <c r="R131" s="662"/>
      <c r="S131" s="662"/>
      <c r="T131" s="662"/>
      <c r="U131" s="855"/>
      <c r="V131" s="672"/>
      <c r="W131" s="672"/>
      <c r="X131" s="672"/>
      <c r="Y131" s="672"/>
      <c r="Z131" s="693"/>
      <c r="AA131" s="673"/>
      <c r="AB131" s="674"/>
      <c r="AC131" s="662"/>
      <c r="AD131" s="662">
        <v>20000</v>
      </c>
      <c r="AE131" s="662"/>
      <c r="AF131" s="662"/>
      <c r="AG131" s="662"/>
      <c r="AH131" s="662"/>
      <c r="AI131" s="662"/>
      <c r="AJ131" s="662"/>
      <c r="AK131" s="675"/>
      <c r="AL131" s="676">
        <v>20000</v>
      </c>
      <c r="AM131" s="677">
        <f t="shared" si="26"/>
        <v>0</v>
      </c>
      <c r="AN131" s="898" t="s">
        <v>535</v>
      </c>
    </row>
    <row r="132" spans="1:40" s="381" customFormat="1" ht="21.75" thickBot="1" x14ac:dyDescent="0.4">
      <c r="A132" s="525" t="s">
        <v>27</v>
      </c>
      <c r="B132" s="378">
        <v>4207</v>
      </c>
      <c r="C132" s="907" t="s">
        <v>425</v>
      </c>
      <c r="D132" s="908" t="s">
        <v>335</v>
      </c>
      <c r="E132" s="909"/>
      <c r="F132" s="821"/>
      <c r="G132" s="355"/>
      <c r="H132" s="355"/>
      <c r="I132" s="355"/>
      <c r="J132" s="351"/>
      <c r="K132" s="367"/>
      <c r="L132" s="487"/>
      <c r="M132" s="487"/>
      <c r="N132" s="487">
        <f>AE132-AL132</f>
        <v>0</v>
      </c>
      <c r="O132" s="487"/>
      <c r="P132" s="487"/>
      <c r="Q132" s="487"/>
      <c r="R132" s="487"/>
      <c r="S132" s="487"/>
      <c r="T132" s="487"/>
      <c r="U132" s="855"/>
      <c r="V132" s="356"/>
      <c r="W132" s="356"/>
      <c r="X132" s="356"/>
      <c r="Y132" s="356"/>
      <c r="Z132" s="387"/>
      <c r="AA132" s="353"/>
      <c r="AB132" s="358"/>
      <c r="AC132" s="388"/>
      <c r="AD132" s="388"/>
      <c r="AE132" s="388">
        <v>20000</v>
      </c>
      <c r="AF132" s="388"/>
      <c r="AG132" s="388"/>
      <c r="AH132" s="388"/>
      <c r="AI132" s="388"/>
      <c r="AJ132" s="388"/>
      <c r="AK132" s="470"/>
      <c r="AL132" s="436">
        <v>20000</v>
      </c>
      <c r="AM132" s="998">
        <f t="shared" si="26"/>
        <v>0</v>
      </c>
      <c r="AN132" s="901" t="s">
        <v>477</v>
      </c>
    </row>
    <row r="133" spans="1:40" s="381" customFormat="1" ht="21.75" thickBot="1" x14ac:dyDescent="0.4">
      <c r="A133" s="864" t="s">
        <v>27</v>
      </c>
      <c r="B133" s="869">
        <v>4213</v>
      </c>
      <c r="C133" s="866" t="s">
        <v>464</v>
      </c>
      <c r="D133" s="867" t="s">
        <v>465</v>
      </c>
      <c r="E133" s="671">
        <f>V133-AL133</f>
        <v>0</v>
      </c>
      <c r="F133" s="816"/>
      <c r="G133" s="672"/>
      <c r="H133" s="672"/>
      <c r="I133" s="672"/>
      <c r="J133" s="672">
        <f>SUM(F133:I133)</f>
        <v>0</v>
      </c>
      <c r="K133" s="674"/>
      <c r="L133" s="662"/>
      <c r="M133" s="662"/>
      <c r="N133" s="662"/>
      <c r="O133" s="662"/>
      <c r="P133" s="662"/>
      <c r="Q133" s="662"/>
      <c r="R133" s="662"/>
      <c r="S133" s="662"/>
      <c r="T133" s="662"/>
      <c r="U133" s="855"/>
      <c r="V133" s="672">
        <v>125000</v>
      </c>
      <c r="W133" s="672"/>
      <c r="X133" s="672"/>
      <c r="Y133" s="672"/>
      <c r="Z133" s="672"/>
      <c r="AA133" s="672"/>
      <c r="AB133" s="674"/>
      <c r="AC133" s="662"/>
      <c r="AD133" s="662"/>
      <c r="AE133" s="662"/>
      <c r="AF133" s="662"/>
      <c r="AG133" s="662"/>
      <c r="AH133" s="662"/>
      <c r="AI133" s="662"/>
      <c r="AJ133" s="662"/>
      <c r="AK133" s="694"/>
      <c r="AL133" s="676">
        <v>125000</v>
      </c>
      <c r="AM133" s="808">
        <f>(V133+W133+X133+Y133+Z133+AB133+AC133+AD133+AE133+AF133+AG133+AH133+AI133+AJ133+AK133)-AL133</f>
        <v>0</v>
      </c>
      <c r="AN133" s="871" t="s">
        <v>592</v>
      </c>
    </row>
    <row r="134" spans="1:40" s="381" customFormat="1" ht="21.75" thickBot="1" x14ac:dyDescent="0.4">
      <c r="A134" s="864" t="s">
        <v>27</v>
      </c>
      <c r="B134" s="869">
        <v>4217</v>
      </c>
      <c r="C134" s="866" t="s">
        <v>482</v>
      </c>
      <c r="D134" s="867" t="s">
        <v>335</v>
      </c>
      <c r="E134" s="671"/>
      <c r="F134" s="816"/>
      <c r="G134" s="672"/>
      <c r="H134" s="672"/>
      <c r="I134" s="672"/>
      <c r="J134" s="673"/>
      <c r="K134" s="1126"/>
      <c r="L134" s="662"/>
      <c r="M134" s="662"/>
      <c r="N134" s="662"/>
      <c r="O134" s="662"/>
      <c r="P134" s="662"/>
      <c r="Q134" s="662">
        <f>AH134-AL134</f>
        <v>0</v>
      </c>
      <c r="R134" s="662"/>
      <c r="S134" s="662"/>
      <c r="T134" s="662"/>
      <c r="U134" s="855"/>
      <c r="V134" s="672"/>
      <c r="W134" s="672"/>
      <c r="X134" s="672"/>
      <c r="Y134" s="672"/>
      <c r="Z134" s="672"/>
      <c r="AA134" s="672"/>
      <c r="AB134" s="674"/>
      <c r="AC134" s="662"/>
      <c r="AD134" s="662"/>
      <c r="AE134" s="662"/>
      <c r="AF134" s="662"/>
      <c r="AG134" s="662"/>
      <c r="AH134" s="662">
        <v>200000</v>
      </c>
      <c r="AI134" s="662"/>
      <c r="AJ134" s="662"/>
      <c r="AK134" s="694"/>
      <c r="AL134" s="681">
        <v>200000</v>
      </c>
      <c r="AM134" s="808">
        <f>(V134+W134+X134+Y134+Z134+AB134+AC134+AD134+AE134+AF134+AG134+AH134+AI134+AJ134+AK134)-AL134</f>
        <v>0</v>
      </c>
      <c r="AN134" s="871" t="s">
        <v>512</v>
      </c>
    </row>
    <row r="135" spans="1:40" s="379" customFormat="1" ht="21.75" thickBot="1" x14ac:dyDescent="0.4">
      <c r="A135" s="525" t="s">
        <v>27</v>
      </c>
      <c r="B135" s="618">
        <v>4222</v>
      </c>
      <c r="C135" s="1113" t="s">
        <v>499</v>
      </c>
      <c r="D135" s="1114" t="s">
        <v>500</v>
      </c>
      <c r="E135" s="1115"/>
      <c r="F135" s="1116"/>
      <c r="G135" s="1116"/>
      <c r="H135" s="1116"/>
      <c r="I135" s="1115"/>
      <c r="J135" s="351"/>
      <c r="K135" s="805">
        <f>AB135-AL135</f>
        <v>1100</v>
      </c>
      <c r="L135" s="1117"/>
      <c r="M135" s="1117"/>
      <c r="N135" s="1117"/>
      <c r="O135" s="1117"/>
      <c r="P135" s="1117"/>
      <c r="Q135" s="1117"/>
      <c r="R135" s="1117"/>
      <c r="S135" s="1117"/>
      <c r="T135" s="1117"/>
      <c r="U135" s="855"/>
      <c r="V135" s="461"/>
      <c r="W135" s="461"/>
      <c r="X135" s="461"/>
      <c r="Y135" s="461"/>
      <c r="Z135" s="466"/>
      <c r="AA135" s="353"/>
      <c r="AB135" s="462">
        <v>1000000</v>
      </c>
      <c r="AC135" s="463"/>
      <c r="AD135" s="463"/>
      <c r="AE135" s="463"/>
      <c r="AF135" s="463"/>
      <c r="AG135" s="463"/>
      <c r="AH135" s="463"/>
      <c r="AI135" s="463"/>
      <c r="AJ135" s="463"/>
      <c r="AK135" s="881"/>
      <c r="AL135" s="464">
        <v>998900</v>
      </c>
      <c r="AM135" s="900">
        <f>(V135+W135+X135+Y135+Z135+AB135+AC135+AD135+AE135+AF135+AG135+AH135+AI135+AJ135+AK135)-AL135</f>
        <v>1100</v>
      </c>
      <c r="AN135" s="861" t="s">
        <v>523</v>
      </c>
    </row>
    <row r="136" spans="1:40" s="379" customFormat="1" ht="21.75" thickBot="1" x14ac:dyDescent="0.4">
      <c r="A136" s="525" t="s">
        <v>27</v>
      </c>
      <c r="B136" s="378">
        <v>4230</v>
      </c>
      <c r="C136" s="907" t="s">
        <v>504</v>
      </c>
      <c r="D136" s="908" t="s">
        <v>391</v>
      </c>
      <c r="E136" s="355"/>
      <c r="F136" s="821"/>
      <c r="G136" s="821"/>
      <c r="H136" s="821"/>
      <c r="I136" s="355"/>
      <c r="J136" s="351"/>
      <c r="K136" s="367"/>
      <c r="L136" s="487"/>
      <c r="M136" s="1117">
        <f>AD136-AL136</f>
        <v>20000</v>
      </c>
      <c r="N136" s="487"/>
      <c r="O136" s="487"/>
      <c r="P136" s="487"/>
      <c r="Q136" s="487"/>
      <c r="R136" s="487"/>
      <c r="S136" s="487"/>
      <c r="T136" s="487"/>
      <c r="U136" s="855"/>
      <c r="V136" s="356"/>
      <c r="W136" s="356"/>
      <c r="X136" s="356"/>
      <c r="Y136" s="356"/>
      <c r="Z136" s="387"/>
      <c r="AA136" s="356"/>
      <c r="AB136" s="358"/>
      <c r="AC136" s="388"/>
      <c r="AD136" s="388">
        <v>20000</v>
      </c>
      <c r="AE136" s="388"/>
      <c r="AF136" s="388"/>
      <c r="AG136" s="388"/>
      <c r="AH136" s="388"/>
      <c r="AI136" s="388"/>
      <c r="AJ136" s="388"/>
      <c r="AK136" s="1120"/>
      <c r="AL136" s="436"/>
      <c r="AM136" s="900">
        <f t="shared" ref="AM136" si="29">(V136+W136+X136+Y136+Z136+AB136+AC136+AD136+AE136+AF136+AG136+AH136+AI136+AJ136+AK136)-AL136</f>
        <v>20000</v>
      </c>
      <c r="AN136" s="386"/>
    </row>
    <row r="137" spans="1:40" s="381" customFormat="1" ht="21.75" thickBot="1" x14ac:dyDescent="0.4">
      <c r="A137" s="532" t="s">
        <v>27</v>
      </c>
      <c r="B137" s="619" t="s">
        <v>24</v>
      </c>
      <c r="C137" s="485"/>
      <c r="D137" s="447"/>
      <c r="E137" s="468">
        <f>SUM(E101:E136)</f>
        <v>0</v>
      </c>
      <c r="F137" s="448">
        <f>SUM(F101:F132)</f>
        <v>0</v>
      </c>
      <c r="G137" s="448">
        <f>SUM(G101:G132)</f>
        <v>0</v>
      </c>
      <c r="H137" s="448">
        <f>SUM(H101:H132)</f>
        <v>0</v>
      </c>
      <c r="I137" s="448">
        <f>SUM(I101:I132)</f>
        <v>0</v>
      </c>
      <c r="J137" s="449">
        <f>SUM(J101:J132)</f>
        <v>0</v>
      </c>
      <c r="K137" s="617">
        <f>SUM(K101:K135)</f>
        <v>1100</v>
      </c>
      <c r="L137" s="820">
        <f>SUM(L101:L132)</f>
        <v>0</v>
      </c>
      <c r="M137" s="820">
        <f>SUM(M101:M136)</f>
        <v>20000</v>
      </c>
      <c r="N137" s="820">
        <f t="shared" ref="N137:T137" si="30">SUM(N101:N132)</f>
        <v>0</v>
      </c>
      <c r="O137" s="820">
        <f t="shared" si="30"/>
        <v>0</v>
      </c>
      <c r="P137" s="820">
        <f t="shared" si="30"/>
        <v>0</v>
      </c>
      <c r="Q137" s="820">
        <f>SUM(Q101:Q134)</f>
        <v>0</v>
      </c>
      <c r="R137" s="820">
        <f t="shared" si="30"/>
        <v>0</v>
      </c>
      <c r="S137" s="820">
        <f t="shared" si="30"/>
        <v>0</v>
      </c>
      <c r="T137" s="820">
        <f t="shared" si="30"/>
        <v>0</v>
      </c>
      <c r="U137" s="855"/>
      <c r="V137" s="820">
        <f>SUM(V101:V136)</f>
        <v>1000000</v>
      </c>
      <c r="W137" s="820">
        <f t="shared" ref="W137:Z137" si="31">SUM(W101:W136)</f>
        <v>68000</v>
      </c>
      <c r="X137" s="820">
        <f t="shared" si="31"/>
        <v>68850</v>
      </c>
      <c r="Y137" s="820">
        <f t="shared" si="31"/>
        <v>66960</v>
      </c>
      <c r="Z137" s="820">
        <f t="shared" si="31"/>
        <v>102120</v>
      </c>
      <c r="AA137" s="835">
        <f t="shared" ref="AA137:AK137" si="32">SUM(AA101:AA132)</f>
        <v>120170</v>
      </c>
      <c r="AB137" s="820">
        <f>SUM(AB101:AB135)</f>
        <v>2690800</v>
      </c>
      <c r="AC137" s="820">
        <f t="shared" si="32"/>
        <v>300000</v>
      </c>
      <c r="AD137" s="820">
        <f>SUM(AD101:AD136)</f>
        <v>70000</v>
      </c>
      <c r="AE137" s="820">
        <f t="shared" si="32"/>
        <v>50000</v>
      </c>
      <c r="AF137" s="820">
        <f t="shared" si="32"/>
        <v>11622</v>
      </c>
      <c r="AG137" s="820">
        <f t="shared" si="32"/>
        <v>0</v>
      </c>
      <c r="AH137" s="820">
        <f>SUM(AH101:AH134)</f>
        <v>350000</v>
      </c>
      <c r="AI137" s="820">
        <f t="shared" si="32"/>
        <v>0</v>
      </c>
      <c r="AJ137" s="820">
        <f t="shared" si="32"/>
        <v>0</v>
      </c>
      <c r="AK137" s="1071">
        <f t="shared" si="32"/>
        <v>0</v>
      </c>
      <c r="AL137" s="450"/>
      <c r="AM137" s="451">
        <f>SUM(AM101:AM136)</f>
        <v>21100</v>
      </c>
      <c r="AN137" s="1031"/>
    </row>
    <row r="138" spans="1:40" s="381" customFormat="1" ht="21.75" thickBot="1" x14ac:dyDescent="0.4">
      <c r="A138" s="1020" t="s">
        <v>28</v>
      </c>
      <c r="B138" s="1033">
        <v>1112</v>
      </c>
      <c r="C138" s="1034" t="s">
        <v>151</v>
      </c>
      <c r="D138" s="1035" t="s">
        <v>152</v>
      </c>
      <c r="E138" s="1015">
        <v>0</v>
      </c>
      <c r="F138" s="1024">
        <v>0</v>
      </c>
      <c r="G138" s="1016">
        <v>0</v>
      </c>
      <c r="H138" s="1016">
        <v>0</v>
      </c>
      <c r="I138" s="1016">
        <v>0</v>
      </c>
      <c r="J138" s="673">
        <f>SUM(F138:I138)</f>
        <v>0</v>
      </c>
      <c r="K138" s="1017">
        <v>0</v>
      </c>
      <c r="L138" s="1018">
        <v>0</v>
      </c>
      <c r="M138" s="1018">
        <v>0</v>
      </c>
      <c r="N138" s="1018">
        <v>0</v>
      </c>
      <c r="O138" s="1018">
        <f>AF138-AL138</f>
        <v>0</v>
      </c>
      <c r="P138" s="1018">
        <v>0</v>
      </c>
      <c r="Q138" s="1018">
        <v>0</v>
      </c>
      <c r="R138" s="1018">
        <v>0</v>
      </c>
      <c r="S138" s="1018">
        <v>0</v>
      </c>
      <c r="T138" s="1018">
        <v>0</v>
      </c>
      <c r="U138" s="855"/>
      <c r="V138" s="1015">
        <v>0</v>
      </c>
      <c r="W138" s="1016">
        <v>0</v>
      </c>
      <c r="X138" s="1016">
        <v>0</v>
      </c>
      <c r="Y138" s="1016">
        <v>0</v>
      </c>
      <c r="Z138" s="1025">
        <v>0</v>
      </c>
      <c r="AA138" s="1016">
        <f>SUM(W138:Z138)</f>
        <v>0</v>
      </c>
      <c r="AB138" s="1017">
        <v>0</v>
      </c>
      <c r="AC138" s="1018">
        <v>0</v>
      </c>
      <c r="AD138" s="1018">
        <v>0</v>
      </c>
      <c r="AE138" s="1018">
        <v>0</v>
      </c>
      <c r="AF138" s="1018">
        <v>4470</v>
      </c>
      <c r="AG138" s="1018">
        <v>0</v>
      </c>
      <c r="AH138" s="1018">
        <v>0</v>
      </c>
      <c r="AI138" s="1018">
        <v>0</v>
      </c>
      <c r="AJ138" s="1018">
        <v>0</v>
      </c>
      <c r="AK138" s="1018">
        <v>0</v>
      </c>
      <c r="AL138" s="1019">
        <v>4470</v>
      </c>
      <c r="AM138" s="677">
        <f t="shared" ref="AM138:AM151" si="33">(V138+W138+X138+Y138+Z138+AB138+AC138+AD138+AE138+AF138+AG138+AH138+AI138+AJ138+AK138)-AL138</f>
        <v>0</v>
      </c>
      <c r="AN138" s="898" t="s">
        <v>470</v>
      </c>
    </row>
    <row r="139" spans="1:40" s="379" customFormat="1" ht="21.75" thickBot="1" x14ac:dyDescent="0.4">
      <c r="A139" s="863" t="s">
        <v>28</v>
      </c>
      <c r="B139" s="709">
        <v>1189</v>
      </c>
      <c r="C139" s="993" t="s">
        <v>161</v>
      </c>
      <c r="D139" s="994" t="s">
        <v>163</v>
      </c>
      <c r="E139" s="995"/>
      <c r="F139" s="989"/>
      <c r="G139" s="980"/>
      <c r="H139" s="980"/>
      <c r="I139" s="980"/>
      <c r="J139" s="673"/>
      <c r="K139" s="982"/>
      <c r="L139" s="983"/>
      <c r="M139" s="983"/>
      <c r="N139" s="983"/>
      <c r="O139" s="983">
        <f>AF139-AL139</f>
        <v>0</v>
      </c>
      <c r="P139" s="983"/>
      <c r="Q139" s="983"/>
      <c r="R139" s="983"/>
      <c r="S139" s="983"/>
      <c r="T139" s="983"/>
      <c r="U139" s="855"/>
      <c r="V139" s="995"/>
      <c r="W139" s="980"/>
      <c r="X139" s="980"/>
      <c r="Y139" s="980"/>
      <c r="Z139" s="996"/>
      <c r="AA139" s="673"/>
      <c r="AB139" s="982"/>
      <c r="AC139" s="983"/>
      <c r="AD139" s="983"/>
      <c r="AE139" s="983"/>
      <c r="AF139" s="983">
        <v>14900</v>
      </c>
      <c r="AG139" s="983"/>
      <c r="AH139" s="983"/>
      <c r="AI139" s="983"/>
      <c r="AJ139" s="983"/>
      <c r="AK139" s="983"/>
      <c r="AL139" s="997">
        <v>14900</v>
      </c>
      <c r="AM139" s="987">
        <f t="shared" si="33"/>
        <v>0</v>
      </c>
      <c r="AN139" s="988" t="s">
        <v>312</v>
      </c>
    </row>
    <row r="140" spans="1:40" s="379" customFormat="1" ht="21.75" thickBot="1" x14ac:dyDescent="0.4">
      <c r="A140" s="863" t="s">
        <v>28</v>
      </c>
      <c r="B140" s="709">
        <v>1172</v>
      </c>
      <c r="C140" s="993" t="s">
        <v>166</v>
      </c>
      <c r="D140" s="994" t="s">
        <v>167</v>
      </c>
      <c r="E140" s="995"/>
      <c r="F140" s="989"/>
      <c r="G140" s="980"/>
      <c r="H140" s="980"/>
      <c r="I140" s="980"/>
      <c r="J140" s="673"/>
      <c r="K140" s="982">
        <f>AB140-AL140</f>
        <v>0</v>
      </c>
      <c r="L140" s="983"/>
      <c r="M140" s="983"/>
      <c r="N140" s="983"/>
      <c r="O140" s="983"/>
      <c r="P140" s="983"/>
      <c r="Q140" s="983"/>
      <c r="R140" s="983"/>
      <c r="S140" s="983"/>
      <c r="T140" s="983"/>
      <c r="U140" s="855"/>
      <c r="V140" s="995"/>
      <c r="W140" s="980"/>
      <c r="X140" s="980"/>
      <c r="Y140" s="980"/>
      <c r="Z140" s="996"/>
      <c r="AA140" s="673"/>
      <c r="AB140" s="982">
        <v>93200</v>
      </c>
      <c r="AC140" s="983"/>
      <c r="AD140" s="983"/>
      <c r="AE140" s="983"/>
      <c r="AF140" s="983"/>
      <c r="AG140" s="983"/>
      <c r="AH140" s="983"/>
      <c r="AI140" s="983"/>
      <c r="AJ140" s="983"/>
      <c r="AK140" s="983"/>
      <c r="AL140" s="997">
        <f>48000+45200</f>
        <v>93200</v>
      </c>
      <c r="AM140" s="987">
        <f t="shared" si="33"/>
        <v>0</v>
      </c>
      <c r="AN140" s="988" t="s">
        <v>418</v>
      </c>
    </row>
    <row r="141" spans="1:40" s="379" customFormat="1" ht="21.75" thickBot="1" x14ac:dyDescent="0.4">
      <c r="A141" s="863" t="s">
        <v>28</v>
      </c>
      <c r="B141" s="709">
        <v>1192</v>
      </c>
      <c r="C141" s="993" t="s">
        <v>177</v>
      </c>
      <c r="D141" s="994" t="s">
        <v>181</v>
      </c>
      <c r="E141" s="995"/>
      <c r="F141" s="989"/>
      <c r="G141" s="980"/>
      <c r="H141" s="980"/>
      <c r="I141" s="980"/>
      <c r="J141" s="673"/>
      <c r="K141" s="982"/>
      <c r="L141" s="983"/>
      <c r="M141" s="983"/>
      <c r="N141" s="983"/>
      <c r="O141" s="983">
        <f>AF141-AL141</f>
        <v>0</v>
      </c>
      <c r="P141" s="983"/>
      <c r="Q141" s="983"/>
      <c r="R141" s="983"/>
      <c r="S141" s="983"/>
      <c r="T141" s="983"/>
      <c r="U141" s="855"/>
      <c r="V141" s="995"/>
      <c r="W141" s="980"/>
      <c r="X141" s="980"/>
      <c r="Y141" s="980"/>
      <c r="Z141" s="996"/>
      <c r="AA141" s="673"/>
      <c r="AB141" s="982"/>
      <c r="AC141" s="983"/>
      <c r="AD141" s="983"/>
      <c r="AE141" s="983"/>
      <c r="AF141" s="983">
        <v>166</v>
      </c>
      <c r="AG141" s="983"/>
      <c r="AH141" s="983"/>
      <c r="AI141" s="983"/>
      <c r="AJ141" s="983"/>
      <c r="AK141" s="983"/>
      <c r="AL141" s="997">
        <v>166</v>
      </c>
      <c r="AM141" s="987">
        <f t="shared" si="33"/>
        <v>0</v>
      </c>
      <c r="AN141" s="988" t="s">
        <v>226</v>
      </c>
    </row>
    <row r="142" spans="1:40" s="31" customFormat="1" ht="21.75" thickBot="1" x14ac:dyDescent="0.4">
      <c r="A142" s="863" t="s">
        <v>28</v>
      </c>
      <c r="B142" s="709">
        <v>1193</v>
      </c>
      <c r="C142" s="993" t="s">
        <v>177</v>
      </c>
      <c r="D142" s="994" t="s">
        <v>181</v>
      </c>
      <c r="E142" s="995"/>
      <c r="F142" s="989"/>
      <c r="G142" s="980">
        <v>0</v>
      </c>
      <c r="H142" s="980">
        <v>0</v>
      </c>
      <c r="I142" s="980">
        <v>0</v>
      </c>
      <c r="J142" s="673"/>
      <c r="K142" s="982"/>
      <c r="L142" s="983"/>
      <c r="M142" s="983">
        <v>0</v>
      </c>
      <c r="N142" s="983">
        <f>AE142-AL142</f>
        <v>0</v>
      </c>
      <c r="O142" s="983"/>
      <c r="P142" s="983"/>
      <c r="Q142" s="983"/>
      <c r="R142" s="983"/>
      <c r="S142" s="983"/>
      <c r="T142" s="983"/>
      <c r="U142" s="855"/>
      <c r="V142" s="995"/>
      <c r="W142" s="980"/>
      <c r="X142" s="980"/>
      <c r="Y142" s="980"/>
      <c r="Z142" s="996"/>
      <c r="AA142" s="673"/>
      <c r="AB142" s="982"/>
      <c r="AC142" s="983"/>
      <c r="AD142" s="983"/>
      <c r="AE142" s="983">
        <v>20000</v>
      </c>
      <c r="AF142" s="983"/>
      <c r="AG142" s="983"/>
      <c r="AH142" s="983"/>
      <c r="AI142" s="983"/>
      <c r="AJ142" s="983"/>
      <c r="AK142" s="983"/>
      <c r="AL142" s="997">
        <f>728+19272</f>
        <v>20000</v>
      </c>
      <c r="AM142" s="987">
        <f t="shared" si="33"/>
        <v>0</v>
      </c>
      <c r="AN142" s="988" t="s">
        <v>419</v>
      </c>
    </row>
    <row r="143" spans="1:40" s="30" customFormat="1" ht="16.5" customHeight="1" thickBot="1" x14ac:dyDescent="0.4">
      <c r="A143" s="863" t="s">
        <v>28</v>
      </c>
      <c r="B143" s="709">
        <v>1217</v>
      </c>
      <c r="C143" s="993">
        <v>44907</v>
      </c>
      <c r="D143" s="994">
        <v>44972</v>
      </c>
      <c r="E143" s="980"/>
      <c r="F143" s="989">
        <f>W143-AK143</f>
        <v>0</v>
      </c>
      <c r="G143" s="980">
        <f>X143-AL143</f>
        <v>0</v>
      </c>
      <c r="H143" s="980"/>
      <c r="I143" s="980"/>
      <c r="J143" s="673">
        <f>SUM(F143:I143)</f>
        <v>0</v>
      </c>
      <c r="K143" s="982">
        <f>AB143-AP322</f>
        <v>0</v>
      </c>
      <c r="L143" s="983"/>
      <c r="M143" s="983"/>
      <c r="N143" s="983"/>
      <c r="O143" s="983"/>
      <c r="P143" s="983"/>
      <c r="Q143" s="983"/>
      <c r="R143" s="983"/>
      <c r="S143" s="983"/>
      <c r="T143" s="983"/>
      <c r="U143" s="855"/>
      <c r="V143" s="980"/>
      <c r="W143" s="980"/>
      <c r="X143" s="980">
        <v>60000</v>
      </c>
      <c r="Y143" s="980"/>
      <c r="Z143" s="996"/>
      <c r="AA143" s="673">
        <f>SUM(W143:Z143)</f>
        <v>60000</v>
      </c>
      <c r="AB143" s="982"/>
      <c r="AC143" s="983"/>
      <c r="AD143" s="983"/>
      <c r="AE143" s="983"/>
      <c r="AF143" s="983"/>
      <c r="AG143" s="983"/>
      <c r="AH143" s="983"/>
      <c r="AI143" s="983"/>
      <c r="AJ143" s="983"/>
      <c r="AK143" s="985"/>
      <c r="AL143" s="986">
        <f>59760+240</f>
        <v>60000</v>
      </c>
      <c r="AM143" s="987">
        <f t="shared" si="33"/>
        <v>0</v>
      </c>
      <c r="AN143" s="988" t="s">
        <v>420</v>
      </c>
    </row>
    <row r="144" spans="1:40" s="39" customFormat="1" ht="21.75" thickBot="1" x14ac:dyDescent="0.4">
      <c r="A144" s="682" t="s">
        <v>28</v>
      </c>
      <c r="B144" s="668">
        <v>3232</v>
      </c>
      <c r="C144" s="669">
        <v>45089</v>
      </c>
      <c r="D144" s="679" t="s">
        <v>196</v>
      </c>
      <c r="E144" s="672"/>
      <c r="F144" s="816">
        <f>W144-AK144</f>
        <v>0</v>
      </c>
      <c r="G144" s="672">
        <v>0</v>
      </c>
      <c r="H144" s="672">
        <v>0</v>
      </c>
      <c r="I144" s="672">
        <f>Z144-AL144</f>
        <v>0</v>
      </c>
      <c r="J144" s="673">
        <f>SUM(F144:I144)</f>
        <v>0</v>
      </c>
      <c r="K144" s="674">
        <v>0</v>
      </c>
      <c r="L144" s="662"/>
      <c r="M144" s="662"/>
      <c r="N144" s="662"/>
      <c r="O144" s="662"/>
      <c r="P144" s="662"/>
      <c r="Q144" s="662"/>
      <c r="R144" s="662"/>
      <c r="S144" s="662"/>
      <c r="T144" s="662"/>
      <c r="U144" s="855"/>
      <c r="V144" s="672"/>
      <c r="W144" s="672"/>
      <c r="X144" s="672"/>
      <c r="Y144" s="672"/>
      <c r="Z144" s="693">
        <v>21240</v>
      </c>
      <c r="AA144" s="673">
        <f>SUM(W144:Z144)</f>
        <v>21240</v>
      </c>
      <c r="AB144" s="674"/>
      <c r="AC144" s="662"/>
      <c r="AD144" s="662"/>
      <c r="AE144" s="662"/>
      <c r="AF144" s="662"/>
      <c r="AG144" s="662"/>
      <c r="AH144" s="662"/>
      <c r="AI144" s="662"/>
      <c r="AJ144" s="662"/>
      <c r="AK144" s="807"/>
      <c r="AL144" s="676">
        <v>21240</v>
      </c>
      <c r="AM144" s="808">
        <f t="shared" si="33"/>
        <v>0</v>
      </c>
      <c r="AN144" s="684" t="s">
        <v>287</v>
      </c>
    </row>
    <row r="145" spans="1:40" s="39" customFormat="1" ht="21.75" thickBot="1" x14ac:dyDescent="0.4">
      <c r="A145" s="682" t="s">
        <v>28</v>
      </c>
      <c r="B145" s="668">
        <v>3232</v>
      </c>
      <c r="C145" s="669" t="s">
        <v>197</v>
      </c>
      <c r="D145" s="679" t="s">
        <v>196</v>
      </c>
      <c r="E145" s="672"/>
      <c r="F145" s="816">
        <v>0</v>
      </c>
      <c r="G145" s="672">
        <v>0</v>
      </c>
      <c r="H145" s="672">
        <f>Y145-AL145</f>
        <v>0</v>
      </c>
      <c r="I145" s="672">
        <v>0</v>
      </c>
      <c r="J145" s="673">
        <f>SUM(F145:I145)</f>
        <v>0</v>
      </c>
      <c r="K145" s="674">
        <v>0</v>
      </c>
      <c r="L145" s="662"/>
      <c r="M145" s="662"/>
      <c r="N145" s="662"/>
      <c r="O145" s="662"/>
      <c r="P145" s="662"/>
      <c r="Q145" s="662"/>
      <c r="R145" s="662"/>
      <c r="S145" s="662"/>
      <c r="T145" s="662"/>
      <c r="U145" s="855"/>
      <c r="V145" s="672">
        <v>0</v>
      </c>
      <c r="W145" s="672">
        <v>0</v>
      </c>
      <c r="X145" s="672">
        <v>0</v>
      </c>
      <c r="Y145" s="672">
        <v>7710</v>
      </c>
      <c r="Z145" s="693"/>
      <c r="AA145" s="673">
        <f>SUM(W145:Z145)</f>
        <v>7710</v>
      </c>
      <c r="AB145" s="674"/>
      <c r="AC145" s="662"/>
      <c r="AD145" s="662"/>
      <c r="AE145" s="662"/>
      <c r="AF145" s="662"/>
      <c r="AG145" s="662"/>
      <c r="AH145" s="662"/>
      <c r="AI145" s="662"/>
      <c r="AJ145" s="662"/>
      <c r="AK145" s="807"/>
      <c r="AL145" s="676">
        <v>7710</v>
      </c>
      <c r="AM145" s="808">
        <f t="shared" si="33"/>
        <v>0</v>
      </c>
      <c r="AN145" s="684" t="s">
        <v>287</v>
      </c>
    </row>
    <row r="146" spans="1:40" s="39" customFormat="1" ht="21.75" thickBot="1" x14ac:dyDescent="0.4">
      <c r="A146" s="682" t="s">
        <v>28</v>
      </c>
      <c r="B146" s="668">
        <v>3232</v>
      </c>
      <c r="C146" s="669" t="s">
        <v>197</v>
      </c>
      <c r="D146" s="679" t="s">
        <v>196</v>
      </c>
      <c r="E146" s="672"/>
      <c r="F146" s="816">
        <f>W146-AK146</f>
        <v>0</v>
      </c>
      <c r="G146" s="672">
        <f>X146-AL146</f>
        <v>0</v>
      </c>
      <c r="H146" s="672">
        <v>0</v>
      </c>
      <c r="I146" s="672">
        <v>0</v>
      </c>
      <c r="J146" s="673">
        <f>SUM(F146:I146)</f>
        <v>0</v>
      </c>
      <c r="K146" s="674">
        <v>0</v>
      </c>
      <c r="L146" s="662"/>
      <c r="M146" s="662"/>
      <c r="N146" s="662"/>
      <c r="O146" s="662"/>
      <c r="P146" s="662"/>
      <c r="Q146" s="662"/>
      <c r="R146" s="662"/>
      <c r="S146" s="662"/>
      <c r="T146" s="662"/>
      <c r="U146" s="855"/>
      <c r="V146" s="672"/>
      <c r="W146" s="672"/>
      <c r="X146" s="672">
        <v>11700</v>
      </c>
      <c r="Y146" s="672"/>
      <c r="Z146" s="693"/>
      <c r="AA146" s="673">
        <f>SUM(W146:Z146)</f>
        <v>11700</v>
      </c>
      <c r="AB146" s="674"/>
      <c r="AC146" s="662"/>
      <c r="AD146" s="662"/>
      <c r="AE146" s="662"/>
      <c r="AF146" s="662"/>
      <c r="AG146" s="662"/>
      <c r="AH146" s="662"/>
      <c r="AI146" s="662"/>
      <c r="AJ146" s="662"/>
      <c r="AK146" s="807"/>
      <c r="AL146" s="676">
        <v>11700</v>
      </c>
      <c r="AM146" s="808">
        <f t="shared" si="33"/>
        <v>0</v>
      </c>
      <c r="AN146" s="684" t="s">
        <v>287</v>
      </c>
    </row>
    <row r="147" spans="1:40" s="350" customFormat="1" ht="18" customHeight="1" thickBot="1" x14ac:dyDescent="0.4">
      <c r="A147" s="682" t="s">
        <v>28</v>
      </c>
      <c r="B147" s="668">
        <v>3259</v>
      </c>
      <c r="C147" s="669" t="s">
        <v>194</v>
      </c>
      <c r="D147" s="679" t="s">
        <v>188</v>
      </c>
      <c r="E147" s="672"/>
      <c r="F147" s="816"/>
      <c r="G147" s="672"/>
      <c r="H147" s="672"/>
      <c r="I147" s="672"/>
      <c r="J147" s="673"/>
      <c r="K147" s="674">
        <f>AB147-AL147</f>
        <v>0</v>
      </c>
      <c r="L147" s="662"/>
      <c r="M147" s="662"/>
      <c r="N147" s="662"/>
      <c r="O147" s="662"/>
      <c r="P147" s="662"/>
      <c r="Q147" s="662"/>
      <c r="R147" s="662"/>
      <c r="S147" s="662"/>
      <c r="T147" s="662"/>
      <c r="U147" s="855"/>
      <c r="V147" s="672"/>
      <c r="W147" s="672"/>
      <c r="X147" s="672"/>
      <c r="Y147" s="672"/>
      <c r="Z147" s="693"/>
      <c r="AA147" s="673"/>
      <c r="AB147" s="674">
        <v>520000</v>
      </c>
      <c r="AC147" s="662"/>
      <c r="AD147" s="662"/>
      <c r="AE147" s="662"/>
      <c r="AF147" s="662"/>
      <c r="AG147" s="662"/>
      <c r="AH147" s="662"/>
      <c r="AI147" s="662"/>
      <c r="AJ147" s="662"/>
      <c r="AK147" s="807"/>
      <c r="AL147" s="676">
        <v>520000</v>
      </c>
      <c r="AM147" s="808">
        <f t="shared" si="33"/>
        <v>0</v>
      </c>
      <c r="AN147" s="684" t="s">
        <v>288</v>
      </c>
    </row>
    <row r="148" spans="1:40" s="381" customFormat="1" ht="21.75" thickBot="1" x14ac:dyDescent="0.4">
      <c r="A148" s="455" t="s">
        <v>28</v>
      </c>
      <c r="B148" s="456">
        <v>3259</v>
      </c>
      <c r="C148" s="457" t="s">
        <v>194</v>
      </c>
      <c r="D148" s="458" t="s">
        <v>188</v>
      </c>
      <c r="E148" s="459"/>
      <c r="F148" s="817">
        <f>W148-AL148</f>
        <v>105000</v>
      </c>
      <c r="G148" s="459"/>
      <c r="H148" s="459"/>
      <c r="I148" s="459"/>
      <c r="J148" s="384">
        <f>SUM(F148:I148)</f>
        <v>105000</v>
      </c>
      <c r="K148" s="804"/>
      <c r="L148" s="460"/>
      <c r="M148" s="460"/>
      <c r="N148" s="460"/>
      <c r="O148" s="460"/>
      <c r="P148" s="460"/>
      <c r="Q148" s="460"/>
      <c r="R148" s="460"/>
      <c r="S148" s="460"/>
      <c r="T148" s="460"/>
      <c r="U148" s="855"/>
      <c r="V148" s="461"/>
      <c r="W148" s="461">
        <v>105000</v>
      </c>
      <c r="X148" s="461"/>
      <c r="Y148" s="461"/>
      <c r="Z148" s="466"/>
      <c r="AA148" s="353">
        <f>SUM(W148:Z148)</f>
        <v>105000</v>
      </c>
      <c r="AB148" s="462"/>
      <c r="AC148" s="463"/>
      <c r="AD148" s="463"/>
      <c r="AE148" s="463"/>
      <c r="AF148" s="463"/>
      <c r="AG148" s="463"/>
      <c r="AH148" s="463"/>
      <c r="AI148" s="463"/>
      <c r="AJ148" s="463"/>
      <c r="AK148" s="469"/>
      <c r="AL148" s="900">
        <v>0</v>
      </c>
      <c r="AM148" s="390">
        <f t="shared" si="33"/>
        <v>105000</v>
      </c>
      <c r="AN148" s="901" t="s">
        <v>199</v>
      </c>
    </row>
    <row r="149" spans="1:40" s="39" customFormat="1" ht="21.75" thickBot="1" x14ac:dyDescent="0.4">
      <c r="A149" s="455" t="s">
        <v>28</v>
      </c>
      <c r="B149" s="456">
        <v>3259</v>
      </c>
      <c r="C149" s="457" t="s">
        <v>194</v>
      </c>
      <c r="D149" s="458" t="s">
        <v>188</v>
      </c>
      <c r="E149" s="459"/>
      <c r="F149" s="459"/>
      <c r="G149" s="383">
        <f>X149-AL149</f>
        <v>96000</v>
      </c>
      <c r="H149" s="459"/>
      <c r="I149" s="459"/>
      <c r="J149" s="384">
        <f>SUM(F149:I149)</f>
        <v>96000</v>
      </c>
      <c r="K149" s="804"/>
      <c r="L149" s="460"/>
      <c r="M149" s="460"/>
      <c r="N149" s="460"/>
      <c r="O149" s="460"/>
      <c r="P149" s="460"/>
      <c r="Q149" s="460"/>
      <c r="R149" s="460"/>
      <c r="S149" s="460"/>
      <c r="T149" s="460"/>
      <c r="U149" s="855"/>
      <c r="V149" s="461"/>
      <c r="W149" s="461"/>
      <c r="X149" s="461">
        <v>96000</v>
      </c>
      <c r="Y149" s="461"/>
      <c r="Z149" s="466"/>
      <c r="AA149" s="353">
        <f>SUM(W149:Z149)</f>
        <v>96000</v>
      </c>
      <c r="AB149" s="462"/>
      <c r="AC149" s="463"/>
      <c r="AD149" s="463"/>
      <c r="AE149" s="463"/>
      <c r="AF149" s="463"/>
      <c r="AG149" s="463"/>
      <c r="AH149" s="463"/>
      <c r="AI149" s="463"/>
      <c r="AJ149" s="463"/>
      <c r="AK149" s="469"/>
      <c r="AL149" s="900">
        <v>0</v>
      </c>
      <c r="AM149" s="390">
        <f t="shared" si="33"/>
        <v>96000</v>
      </c>
      <c r="AN149" s="901" t="s">
        <v>199</v>
      </c>
    </row>
    <row r="150" spans="1:40" s="350" customFormat="1" ht="18.75" customHeight="1" thickBot="1" x14ac:dyDescent="0.4">
      <c r="A150" s="868" t="s">
        <v>28</v>
      </c>
      <c r="B150" s="864">
        <v>3260</v>
      </c>
      <c r="C150" s="865" t="s">
        <v>194</v>
      </c>
      <c r="D150" s="867" t="s">
        <v>188</v>
      </c>
      <c r="E150" s="672"/>
      <c r="F150" s="816">
        <f>W150-AK150</f>
        <v>0</v>
      </c>
      <c r="G150" s="672"/>
      <c r="H150" s="672"/>
      <c r="I150" s="672">
        <f>Z150-AL150</f>
        <v>0</v>
      </c>
      <c r="J150" s="673"/>
      <c r="K150" s="674"/>
      <c r="L150" s="662"/>
      <c r="M150" s="662"/>
      <c r="N150" s="662"/>
      <c r="O150" s="662"/>
      <c r="P150" s="662"/>
      <c r="Q150" s="662"/>
      <c r="R150" s="662"/>
      <c r="S150" s="662"/>
      <c r="T150" s="662"/>
      <c r="U150" s="855"/>
      <c r="V150" s="672"/>
      <c r="W150" s="672"/>
      <c r="X150" s="672"/>
      <c r="Y150" s="672"/>
      <c r="Z150" s="693">
        <v>66300</v>
      </c>
      <c r="AA150" s="673">
        <f>SUM(W150:Z150)</f>
        <v>66300</v>
      </c>
      <c r="AB150" s="674"/>
      <c r="AC150" s="662"/>
      <c r="AD150" s="662"/>
      <c r="AE150" s="662"/>
      <c r="AF150" s="662"/>
      <c r="AG150" s="662"/>
      <c r="AH150" s="662"/>
      <c r="AI150" s="662"/>
      <c r="AJ150" s="662"/>
      <c r="AK150" s="807"/>
      <c r="AL150" s="676">
        <v>66300</v>
      </c>
      <c r="AM150" s="808">
        <f t="shared" si="33"/>
        <v>0</v>
      </c>
      <c r="AN150" s="870" t="s">
        <v>366</v>
      </c>
    </row>
    <row r="151" spans="1:40" s="350" customFormat="1" ht="17.25" customHeight="1" thickBot="1" x14ac:dyDescent="0.4">
      <c r="A151" s="868" t="s">
        <v>28</v>
      </c>
      <c r="B151" s="864">
        <v>3260</v>
      </c>
      <c r="C151" s="865" t="s">
        <v>194</v>
      </c>
      <c r="D151" s="867" t="s">
        <v>188</v>
      </c>
      <c r="E151" s="672"/>
      <c r="F151" s="816">
        <v>0</v>
      </c>
      <c r="G151" s="672"/>
      <c r="H151" s="672">
        <f>Y151-AL151</f>
        <v>0</v>
      </c>
      <c r="I151" s="672">
        <v>0</v>
      </c>
      <c r="J151" s="673">
        <f>SUM(F151:I151)</f>
        <v>0</v>
      </c>
      <c r="K151" s="674"/>
      <c r="L151" s="662"/>
      <c r="M151" s="662"/>
      <c r="N151" s="662"/>
      <c r="O151" s="662"/>
      <c r="P151" s="662"/>
      <c r="Q151" s="662"/>
      <c r="R151" s="662"/>
      <c r="S151" s="662"/>
      <c r="T151" s="662"/>
      <c r="U151" s="855"/>
      <c r="V151" s="672">
        <v>0</v>
      </c>
      <c r="W151" s="672">
        <v>0</v>
      </c>
      <c r="X151" s="672">
        <v>0</v>
      </c>
      <c r="Y151" s="672">
        <v>76500</v>
      </c>
      <c r="Z151" s="693"/>
      <c r="AA151" s="673">
        <f>SUM(W151:Z151)</f>
        <v>76500</v>
      </c>
      <c r="AB151" s="674"/>
      <c r="AC151" s="662"/>
      <c r="AD151" s="662"/>
      <c r="AE151" s="662"/>
      <c r="AF151" s="662"/>
      <c r="AG151" s="662"/>
      <c r="AH151" s="662"/>
      <c r="AI151" s="662"/>
      <c r="AJ151" s="662"/>
      <c r="AK151" s="807"/>
      <c r="AL151" s="676">
        <v>76500</v>
      </c>
      <c r="AM151" s="808">
        <f t="shared" si="33"/>
        <v>0</v>
      </c>
      <c r="AN151" s="870" t="s">
        <v>366</v>
      </c>
    </row>
    <row r="152" spans="1:40" s="39" customFormat="1" ht="21.75" thickBot="1" x14ac:dyDescent="0.4">
      <c r="A152" s="682" t="s">
        <v>28</v>
      </c>
      <c r="B152" s="668">
        <v>3261</v>
      </c>
      <c r="C152" s="669" t="s">
        <v>194</v>
      </c>
      <c r="D152" s="679" t="s">
        <v>188</v>
      </c>
      <c r="E152" s="672"/>
      <c r="F152" s="816">
        <f>W152-AK152</f>
        <v>0</v>
      </c>
      <c r="G152" s="672">
        <v>0</v>
      </c>
      <c r="H152" s="672">
        <v>0</v>
      </c>
      <c r="I152" s="672">
        <v>0</v>
      </c>
      <c r="J152" s="673"/>
      <c r="K152" s="678">
        <v>0</v>
      </c>
      <c r="L152" s="662"/>
      <c r="M152" s="661">
        <f>AD152-AL152</f>
        <v>0</v>
      </c>
      <c r="N152" s="662"/>
      <c r="O152" s="661">
        <v>0</v>
      </c>
      <c r="P152" s="662"/>
      <c r="Q152" s="662"/>
      <c r="R152" s="662"/>
      <c r="S152" s="662"/>
      <c r="T152" s="662"/>
      <c r="U152" s="855"/>
      <c r="V152" s="672"/>
      <c r="W152" s="672"/>
      <c r="X152" s="672"/>
      <c r="Y152" s="672"/>
      <c r="Z152" s="693"/>
      <c r="AA152" s="673">
        <f>SUM(W152:Z152)</f>
        <v>0</v>
      </c>
      <c r="AB152" s="674"/>
      <c r="AC152" s="662"/>
      <c r="AD152" s="662">
        <v>20000</v>
      </c>
      <c r="AE152" s="662"/>
      <c r="AF152" s="662"/>
      <c r="AG152" s="662"/>
      <c r="AH152" s="662"/>
      <c r="AI152" s="662"/>
      <c r="AJ152" s="662"/>
      <c r="AK152" s="694"/>
      <c r="AL152" s="676">
        <v>20000</v>
      </c>
      <c r="AM152" s="677">
        <f t="shared" ref="AM152:AM158" si="34">(V152+W152+X152+Y152+Z152+AB152+AC152+AD152+AE152+AF152+AG152+AH152+AI152+AJ152+AK152)-AL152</f>
        <v>0</v>
      </c>
      <c r="AN152" s="684" t="s">
        <v>251</v>
      </c>
    </row>
    <row r="153" spans="1:40" s="39" customFormat="1" ht="21.75" thickBot="1" x14ac:dyDescent="0.4">
      <c r="A153" s="682" t="s">
        <v>28</v>
      </c>
      <c r="B153" s="668">
        <v>3279</v>
      </c>
      <c r="C153" s="727" t="s">
        <v>206</v>
      </c>
      <c r="D153" s="728" t="s">
        <v>207</v>
      </c>
      <c r="E153" s="672"/>
      <c r="F153" s="816"/>
      <c r="G153" s="672"/>
      <c r="H153" s="672"/>
      <c r="I153" s="672"/>
      <c r="J153" s="673"/>
      <c r="K153" s="678">
        <f t="shared" ref="K153:K160" si="35">AB153-AL153</f>
        <v>0</v>
      </c>
      <c r="L153" s="662"/>
      <c r="M153" s="662"/>
      <c r="N153" s="662"/>
      <c r="O153" s="662"/>
      <c r="P153" s="662"/>
      <c r="Q153" s="662"/>
      <c r="R153" s="662"/>
      <c r="S153" s="662"/>
      <c r="T153" s="662"/>
      <c r="U153" s="855"/>
      <c r="V153" s="672"/>
      <c r="W153" s="672"/>
      <c r="X153" s="672"/>
      <c r="Y153" s="672"/>
      <c r="Z153" s="680"/>
      <c r="AA153" s="673"/>
      <c r="AB153" s="674">
        <v>175000</v>
      </c>
      <c r="AC153" s="662"/>
      <c r="AD153" s="662"/>
      <c r="AE153" s="662"/>
      <c r="AF153" s="662"/>
      <c r="AG153" s="662"/>
      <c r="AH153" s="662"/>
      <c r="AI153" s="662"/>
      <c r="AJ153" s="662"/>
      <c r="AK153" s="694"/>
      <c r="AL153" s="676">
        <v>175000</v>
      </c>
      <c r="AM153" s="677">
        <f t="shared" si="34"/>
        <v>0</v>
      </c>
      <c r="AN153" s="684" t="s">
        <v>253</v>
      </c>
    </row>
    <row r="154" spans="1:40" s="39" customFormat="1" ht="21.75" thickBot="1" x14ac:dyDescent="0.4">
      <c r="A154" s="682" t="s">
        <v>28</v>
      </c>
      <c r="B154" s="668">
        <v>3281</v>
      </c>
      <c r="C154" s="727" t="s">
        <v>206</v>
      </c>
      <c r="D154" s="728" t="s">
        <v>204</v>
      </c>
      <c r="E154" s="672"/>
      <c r="F154" s="816"/>
      <c r="G154" s="672"/>
      <c r="H154" s="672"/>
      <c r="I154" s="672"/>
      <c r="J154" s="673"/>
      <c r="K154" s="678">
        <f t="shared" si="35"/>
        <v>0</v>
      </c>
      <c r="L154" s="662"/>
      <c r="M154" s="662"/>
      <c r="N154" s="662"/>
      <c r="O154" s="662"/>
      <c r="P154" s="662"/>
      <c r="Q154" s="662"/>
      <c r="R154" s="662"/>
      <c r="S154" s="662"/>
      <c r="T154" s="662"/>
      <c r="U154" s="855"/>
      <c r="V154" s="672"/>
      <c r="W154" s="672"/>
      <c r="X154" s="672"/>
      <c r="Y154" s="672"/>
      <c r="Z154" s="680"/>
      <c r="AA154" s="673"/>
      <c r="AB154" s="674">
        <v>200000</v>
      </c>
      <c r="AC154" s="662"/>
      <c r="AD154" s="662"/>
      <c r="AE154" s="662"/>
      <c r="AF154" s="662"/>
      <c r="AG154" s="662"/>
      <c r="AH154" s="662"/>
      <c r="AI154" s="662"/>
      <c r="AJ154" s="662"/>
      <c r="AK154" s="694"/>
      <c r="AL154" s="676">
        <v>200000</v>
      </c>
      <c r="AM154" s="677">
        <f t="shared" si="34"/>
        <v>0</v>
      </c>
      <c r="AN154" s="684" t="s">
        <v>252</v>
      </c>
    </row>
    <row r="155" spans="1:40" s="350" customFormat="1" ht="21.75" thickBot="1" x14ac:dyDescent="0.4">
      <c r="A155" s="682" t="s">
        <v>28</v>
      </c>
      <c r="B155" s="668">
        <v>3281</v>
      </c>
      <c r="C155" s="727" t="s">
        <v>206</v>
      </c>
      <c r="D155" s="728" t="s">
        <v>204</v>
      </c>
      <c r="E155" s="672"/>
      <c r="F155" s="816"/>
      <c r="G155" s="672"/>
      <c r="H155" s="672"/>
      <c r="I155" s="672"/>
      <c r="J155" s="673"/>
      <c r="K155" s="678">
        <v>0</v>
      </c>
      <c r="L155" s="662"/>
      <c r="M155" s="662"/>
      <c r="N155" s="662"/>
      <c r="O155" s="662"/>
      <c r="P155" s="662"/>
      <c r="Q155" s="662">
        <f>AH155-AL155</f>
        <v>0</v>
      </c>
      <c r="R155" s="662"/>
      <c r="S155" s="662"/>
      <c r="T155" s="662"/>
      <c r="U155" s="855"/>
      <c r="V155" s="672"/>
      <c r="W155" s="672"/>
      <c r="X155" s="672"/>
      <c r="Y155" s="672"/>
      <c r="Z155" s="680"/>
      <c r="AA155" s="673"/>
      <c r="AB155" s="674"/>
      <c r="AC155" s="662"/>
      <c r="AD155" s="662"/>
      <c r="AE155" s="662"/>
      <c r="AF155" s="662"/>
      <c r="AG155" s="662"/>
      <c r="AH155" s="662">
        <v>200000</v>
      </c>
      <c r="AI155" s="662"/>
      <c r="AJ155" s="662"/>
      <c r="AK155" s="694"/>
      <c r="AL155" s="676">
        <v>200000</v>
      </c>
      <c r="AM155" s="677">
        <f t="shared" si="34"/>
        <v>0</v>
      </c>
      <c r="AN155" s="684" t="s">
        <v>254</v>
      </c>
    </row>
    <row r="156" spans="1:40" s="39" customFormat="1" ht="15.75" customHeight="1" thickBot="1" x14ac:dyDescent="0.4">
      <c r="A156" s="682" t="s">
        <v>28</v>
      </c>
      <c r="B156" s="668">
        <v>3283</v>
      </c>
      <c r="C156" s="727" t="s">
        <v>205</v>
      </c>
      <c r="D156" s="728" t="s">
        <v>208</v>
      </c>
      <c r="E156" s="671">
        <f>V156-AL156</f>
        <v>0</v>
      </c>
      <c r="F156" s="816"/>
      <c r="G156" s="672"/>
      <c r="H156" s="672"/>
      <c r="I156" s="672"/>
      <c r="J156" s="673"/>
      <c r="K156" s="678">
        <v>0</v>
      </c>
      <c r="L156" s="662"/>
      <c r="M156" s="662"/>
      <c r="N156" s="662"/>
      <c r="O156" s="662"/>
      <c r="P156" s="662"/>
      <c r="Q156" s="662"/>
      <c r="R156" s="662"/>
      <c r="S156" s="662"/>
      <c r="T156" s="662"/>
      <c r="U156" s="855"/>
      <c r="V156" s="672">
        <v>250000</v>
      </c>
      <c r="W156" s="672"/>
      <c r="X156" s="672"/>
      <c r="Y156" s="672"/>
      <c r="Z156" s="680"/>
      <c r="AA156" s="673"/>
      <c r="AB156" s="674"/>
      <c r="AC156" s="662"/>
      <c r="AD156" s="662"/>
      <c r="AE156" s="662"/>
      <c r="AF156" s="662"/>
      <c r="AG156" s="662"/>
      <c r="AH156" s="662"/>
      <c r="AI156" s="662"/>
      <c r="AJ156" s="662"/>
      <c r="AK156" s="694"/>
      <c r="AL156" s="676">
        <v>250000</v>
      </c>
      <c r="AM156" s="677">
        <f t="shared" si="34"/>
        <v>0</v>
      </c>
      <c r="AN156" s="684" t="s">
        <v>255</v>
      </c>
    </row>
    <row r="157" spans="1:40" s="39" customFormat="1" ht="21.75" thickBot="1" x14ac:dyDescent="0.4">
      <c r="A157" s="682" t="s">
        <v>28</v>
      </c>
      <c r="B157" s="668">
        <v>3285</v>
      </c>
      <c r="C157" s="727" t="s">
        <v>205</v>
      </c>
      <c r="D157" s="728" t="s">
        <v>204</v>
      </c>
      <c r="E157" s="672"/>
      <c r="F157" s="816"/>
      <c r="G157" s="672"/>
      <c r="H157" s="672"/>
      <c r="I157" s="672"/>
      <c r="J157" s="673"/>
      <c r="K157" s="674">
        <f t="shared" si="35"/>
        <v>0</v>
      </c>
      <c r="L157" s="662"/>
      <c r="M157" s="662"/>
      <c r="N157" s="662"/>
      <c r="O157" s="662"/>
      <c r="P157" s="662"/>
      <c r="Q157" s="662"/>
      <c r="R157" s="662"/>
      <c r="S157" s="662"/>
      <c r="T157" s="662"/>
      <c r="U157" s="855"/>
      <c r="V157" s="672"/>
      <c r="W157" s="672"/>
      <c r="X157" s="672"/>
      <c r="Y157" s="672"/>
      <c r="Z157" s="680"/>
      <c r="AA157" s="673"/>
      <c r="AB157" s="674">
        <v>871600</v>
      </c>
      <c r="AC157" s="662"/>
      <c r="AD157" s="662"/>
      <c r="AE157" s="662"/>
      <c r="AF157" s="662"/>
      <c r="AG157" s="662"/>
      <c r="AH157" s="662"/>
      <c r="AI157" s="662"/>
      <c r="AJ157" s="662"/>
      <c r="AK157" s="694"/>
      <c r="AL157" s="676">
        <v>871600</v>
      </c>
      <c r="AM157" s="808">
        <f t="shared" si="34"/>
        <v>0</v>
      </c>
      <c r="AN157" s="684" t="s">
        <v>277</v>
      </c>
    </row>
    <row r="158" spans="1:40" s="39" customFormat="1" ht="21.75" thickBot="1" x14ac:dyDescent="0.4">
      <c r="A158" s="682" t="s">
        <v>28</v>
      </c>
      <c r="B158" s="668">
        <v>3286</v>
      </c>
      <c r="C158" s="727" t="s">
        <v>209</v>
      </c>
      <c r="D158" s="728" t="s">
        <v>208</v>
      </c>
      <c r="E158" s="672"/>
      <c r="F158" s="816"/>
      <c r="G158" s="672"/>
      <c r="H158" s="672"/>
      <c r="I158" s="672"/>
      <c r="J158" s="673"/>
      <c r="K158" s="674">
        <v>0</v>
      </c>
      <c r="L158" s="662">
        <f>AC158-AL158</f>
        <v>0</v>
      </c>
      <c r="M158" s="662"/>
      <c r="N158" s="662"/>
      <c r="O158" s="662"/>
      <c r="P158" s="662"/>
      <c r="Q158" s="662"/>
      <c r="R158" s="662"/>
      <c r="S158" s="662"/>
      <c r="T158" s="662"/>
      <c r="U158" s="855"/>
      <c r="V158" s="672"/>
      <c r="W158" s="672"/>
      <c r="X158" s="672"/>
      <c r="Y158" s="672"/>
      <c r="Z158" s="680"/>
      <c r="AA158" s="673"/>
      <c r="AB158" s="674"/>
      <c r="AC158" s="662">
        <v>473000</v>
      </c>
      <c r="AD158" s="662"/>
      <c r="AE158" s="662"/>
      <c r="AF158" s="662"/>
      <c r="AG158" s="662"/>
      <c r="AH158" s="662"/>
      <c r="AI158" s="662"/>
      <c r="AJ158" s="662"/>
      <c r="AK158" s="694"/>
      <c r="AL158" s="676">
        <v>473000</v>
      </c>
      <c r="AM158" s="808">
        <f t="shared" si="34"/>
        <v>0</v>
      </c>
      <c r="AN158" s="684" t="s">
        <v>289</v>
      </c>
    </row>
    <row r="159" spans="1:40" s="39" customFormat="1" ht="21.75" thickBot="1" x14ac:dyDescent="0.4">
      <c r="A159" s="682" t="s">
        <v>28</v>
      </c>
      <c r="B159" s="668">
        <v>3299</v>
      </c>
      <c r="C159" s="727" t="s">
        <v>218</v>
      </c>
      <c r="D159" s="728" t="s">
        <v>208</v>
      </c>
      <c r="E159" s="671">
        <f>V159-AL159</f>
        <v>0</v>
      </c>
      <c r="F159" s="816"/>
      <c r="G159" s="672"/>
      <c r="H159" s="672"/>
      <c r="I159" s="672"/>
      <c r="J159" s="673"/>
      <c r="K159" s="678">
        <v>0</v>
      </c>
      <c r="L159" s="662"/>
      <c r="M159" s="662"/>
      <c r="N159" s="662"/>
      <c r="O159" s="662"/>
      <c r="P159" s="662"/>
      <c r="Q159" s="662"/>
      <c r="R159" s="662"/>
      <c r="S159" s="662"/>
      <c r="T159" s="662"/>
      <c r="U159" s="855"/>
      <c r="V159" s="672">
        <v>250000</v>
      </c>
      <c r="W159" s="672"/>
      <c r="X159" s="672"/>
      <c r="Y159" s="672"/>
      <c r="Z159" s="680"/>
      <c r="AA159" s="673"/>
      <c r="AB159" s="674"/>
      <c r="AC159" s="662"/>
      <c r="AD159" s="662"/>
      <c r="AE159" s="662"/>
      <c r="AF159" s="662"/>
      <c r="AG159" s="662"/>
      <c r="AH159" s="662"/>
      <c r="AI159" s="662"/>
      <c r="AJ159" s="662"/>
      <c r="AK159" s="694"/>
      <c r="AL159" s="676">
        <v>250000</v>
      </c>
      <c r="AM159" s="677">
        <f>(V159+W159+X159+Y159+Z159+AB159+AC159+AD159+AE159+AF159+AG159+AH159+AI159+AJ159+AK159)-AL159</f>
        <v>0</v>
      </c>
      <c r="AN159" s="684" t="s">
        <v>255</v>
      </c>
    </row>
    <row r="160" spans="1:40" s="39" customFormat="1" ht="21.75" thickBot="1" x14ac:dyDescent="0.4">
      <c r="A160" s="868" t="s">
        <v>28</v>
      </c>
      <c r="B160" s="864">
        <v>3303</v>
      </c>
      <c r="C160" s="873" t="s">
        <v>220</v>
      </c>
      <c r="D160" s="874" t="s">
        <v>208</v>
      </c>
      <c r="E160" s="672"/>
      <c r="F160" s="816"/>
      <c r="G160" s="672"/>
      <c r="H160" s="672"/>
      <c r="I160" s="672"/>
      <c r="J160" s="673"/>
      <c r="K160" s="674">
        <f t="shared" si="35"/>
        <v>0</v>
      </c>
      <c r="L160" s="662"/>
      <c r="M160" s="662"/>
      <c r="N160" s="662"/>
      <c r="O160" s="662"/>
      <c r="P160" s="662"/>
      <c r="Q160" s="662"/>
      <c r="R160" s="662"/>
      <c r="S160" s="662"/>
      <c r="T160" s="662"/>
      <c r="U160" s="855"/>
      <c r="V160" s="672"/>
      <c r="W160" s="672"/>
      <c r="X160" s="672"/>
      <c r="Y160" s="672"/>
      <c r="Z160" s="680"/>
      <c r="AA160" s="673"/>
      <c r="AB160" s="674">
        <v>2000000</v>
      </c>
      <c r="AC160" s="662"/>
      <c r="AD160" s="662"/>
      <c r="AE160" s="662"/>
      <c r="AF160" s="662"/>
      <c r="AG160" s="662"/>
      <c r="AH160" s="662"/>
      <c r="AI160" s="662"/>
      <c r="AJ160" s="662"/>
      <c r="AK160" s="694"/>
      <c r="AL160" s="676">
        <f>1992200+7800</f>
        <v>2000000</v>
      </c>
      <c r="AM160" s="808">
        <f>(V160+W160+X160+Y160+Z160+AB160+AC160+AD160+AE160+AF160+AG160+AH160+AI160+AJ160+AK160)-AL160</f>
        <v>0</v>
      </c>
      <c r="AN160" s="870" t="s">
        <v>310</v>
      </c>
    </row>
    <row r="161" spans="1:40" s="39" customFormat="1" ht="21.75" thickBot="1" x14ac:dyDescent="0.4">
      <c r="A161" s="868" t="s">
        <v>28</v>
      </c>
      <c r="B161" s="864">
        <v>3321</v>
      </c>
      <c r="C161" s="890">
        <v>45323</v>
      </c>
      <c r="D161" s="891">
        <v>45412</v>
      </c>
      <c r="E161" s="672"/>
      <c r="F161" s="816"/>
      <c r="G161" s="672"/>
      <c r="H161" s="672"/>
      <c r="I161" s="672"/>
      <c r="J161" s="673"/>
      <c r="K161" s="674">
        <f>AB161-AL161</f>
        <v>0</v>
      </c>
      <c r="L161" s="662"/>
      <c r="M161" s="662"/>
      <c r="N161" s="662"/>
      <c r="O161" s="662"/>
      <c r="P161" s="662"/>
      <c r="Q161" s="662"/>
      <c r="R161" s="662"/>
      <c r="S161" s="662"/>
      <c r="T161" s="662"/>
      <c r="U161" s="855"/>
      <c r="V161" s="672"/>
      <c r="W161" s="672"/>
      <c r="X161" s="672"/>
      <c r="Y161" s="672"/>
      <c r="Z161" s="680"/>
      <c r="AA161" s="673"/>
      <c r="AB161" s="674">
        <v>250000</v>
      </c>
      <c r="AC161" s="662"/>
      <c r="AD161" s="662"/>
      <c r="AE161" s="662"/>
      <c r="AF161" s="662"/>
      <c r="AG161" s="662"/>
      <c r="AH161" s="662"/>
      <c r="AI161" s="662"/>
      <c r="AJ161" s="662"/>
      <c r="AK161" s="694"/>
      <c r="AL161" s="676">
        <v>250000</v>
      </c>
      <c r="AM161" s="808">
        <f t="shared" ref="AM161:AM179" si="36">(V161+W161+X161+Y161+Z161+AB161+AC161+AD161+AE161+AF161+AG161+AH161+AI161+AJ161+AK161)-AL161</f>
        <v>0</v>
      </c>
      <c r="AN161" s="870" t="s">
        <v>311</v>
      </c>
    </row>
    <row r="162" spans="1:40" s="39" customFormat="1" ht="21.75" thickBot="1" x14ac:dyDescent="0.4">
      <c r="A162" s="868" t="s">
        <v>28</v>
      </c>
      <c r="B162" s="864">
        <v>3323</v>
      </c>
      <c r="C162" s="890">
        <v>45323</v>
      </c>
      <c r="D162" s="891">
        <v>45442</v>
      </c>
      <c r="E162" s="672"/>
      <c r="F162" s="816"/>
      <c r="G162" s="672"/>
      <c r="H162" s="672"/>
      <c r="I162" s="672"/>
      <c r="J162" s="673"/>
      <c r="K162" s="674">
        <f>AB162-AL162</f>
        <v>0</v>
      </c>
      <c r="L162" s="662"/>
      <c r="M162" s="662"/>
      <c r="N162" s="662"/>
      <c r="O162" s="662"/>
      <c r="P162" s="662"/>
      <c r="Q162" s="662"/>
      <c r="R162" s="662"/>
      <c r="S162" s="662"/>
      <c r="T162" s="662"/>
      <c r="U162" s="855"/>
      <c r="V162" s="672"/>
      <c r="W162" s="672"/>
      <c r="X162" s="672"/>
      <c r="Y162" s="672"/>
      <c r="Z162" s="680"/>
      <c r="AA162" s="673"/>
      <c r="AB162" s="674">
        <v>500000</v>
      </c>
      <c r="AC162" s="662"/>
      <c r="AD162" s="662"/>
      <c r="AE162" s="662"/>
      <c r="AF162" s="662"/>
      <c r="AG162" s="662"/>
      <c r="AH162" s="662"/>
      <c r="AI162" s="662"/>
      <c r="AJ162" s="662"/>
      <c r="AK162" s="694"/>
      <c r="AL162" s="676">
        <v>500000</v>
      </c>
      <c r="AM162" s="808">
        <f t="shared" si="36"/>
        <v>0</v>
      </c>
      <c r="AN162" s="870" t="s">
        <v>401</v>
      </c>
    </row>
    <row r="163" spans="1:40" s="39" customFormat="1" ht="21.75" thickBot="1" x14ac:dyDescent="0.4">
      <c r="A163" s="868" t="s">
        <v>28</v>
      </c>
      <c r="B163" s="864">
        <v>3330</v>
      </c>
      <c r="C163" s="890" t="s">
        <v>278</v>
      </c>
      <c r="D163" s="891" t="s">
        <v>275</v>
      </c>
      <c r="E163" s="672"/>
      <c r="F163" s="816"/>
      <c r="G163" s="672"/>
      <c r="H163" s="672"/>
      <c r="I163" s="672"/>
      <c r="J163" s="673"/>
      <c r="K163" s="674">
        <f>AB163-AL163</f>
        <v>0</v>
      </c>
      <c r="L163" s="662"/>
      <c r="M163" s="662"/>
      <c r="N163" s="662"/>
      <c r="O163" s="662"/>
      <c r="P163" s="662"/>
      <c r="Q163" s="662"/>
      <c r="R163" s="662"/>
      <c r="S163" s="662"/>
      <c r="T163" s="662"/>
      <c r="U163" s="855"/>
      <c r="V163" s="672"/>
      <c r="W163" s="672"/>
      <c r="X163" s="672"/>
      <c r="Y163" s="672"/>
      <c r="Z163" s="680"/>
      <c r="AA163" s="673"/>
      <c r="AB163" s="674">
        <v>157400</v>
      </c>
      <c r="AC163" s="662"/>
      <c r="AD163" s="662"/>
      <c r="AE163" s="662"/>
      <c r="AF163" s="662"/>
      <c r="AG163" s="662"/>
      <c r="AH163" s="662"/>
      <c r="AI163" s="662"/>
      <c r="AJ163" s="662"/>
      <c r="AK163" s="694"/>
      <c r="AL163" s="676">
        <v>157400</v>
      </c>
      <c r="AM163" s="808">
        <f t="shared" si="36"/>
        <v>0</v>
      </c>
      <c r="AN163" s="870" t="s">
        <v>402</v>
      </c>
    </row>
    <row r="164" spans="1:40" s="39" customFormat="1" ht="21.75" thickBot="1" x14ac:dyDescent="0.4">
      <c r="A164" s="868" t="s">
        <v>28</v>
      </c>
      <c r="B164" s="864">
        <v>3335</v>
      </c>
      <c r="C164" s="890" t="s">
        <v>284</v>
      </c>
      <c r="D164" s="891" t="s">
        <v>285</v>
      </c>
      <c r="E164" s="672"/>
      <c r="F164" s="816"/>
      <c r="G164" s="672"/>
      <c r="H164" s="672"/>
      <c r="I164" s="672">
        <f>Z164-AL164</f>
        <v>0</v>
      </c>
      <c r="J164" s="673">
        <f t="shared" ref="J164:J176" si="37">SUM(F164:I164)</f>
        <v>0</v>
      </c>
      <c r="K164" s="674"/>
      <c r="L164" s="662"/>
      <c r="M164" s="662"/>
      <c r="N164" s="662"/>
      <c r="O164" s="662"/>
      <c r="P164" s="662"/>
      <c r="Q164" s="662"/>
      <c r="R164" s="662"/>
      <c r="S164" s="662"/>
      <c r="T164" s="662"/>
      <c r="U164" s="855"/>
      <c r="V164" s="672"/>
      <c r="W164" s="672"/>
      <c r="X164" s="672"/>
      <c r="Y164" s="672"/>
      <c r="Z164" s="672">
        <v>21240</v>
      </c>
      <c r="AA164" s="673"/>
      <c r="AB164" s="674"/>
      <c r="AC164" s="662"/>
      <c r="AD164" s="662"/>
      <c r="AE164" s="662"/>
      <c r="AF164" s="662"/>
      <c r="AG164" s="662"/>
      <c r="AH164" s="662"/>
      <c r="AI164" s="662"/>
      <c r="AJ164" s="662"/>
      <c r="AK164" s="694"/>
      <c r="AL164" s="676">
        <f>3600+3600+14040</f>
        <v>21240</v>
      </c>
      <c r="AM164" s="808">
        <f>(V164+W164+X164+Y164+Z164+AB164+AC164+AD164+AE164+AF164+AG164+AH164+AI164+AJ164+AK164)-AL164</f>
        <v>0</v>
      </c>
      <c r="AN164" s="870" t="s">
        <v>406</v>
      </c>
    </row>
    <row r="165" spans="1:40" s="39" customFormat="1" ht="21.75" thickBot="1" x14ac:dyDescent="0.4">
      <c r="A165" s="868" t="s">
        <v>28</v>
      </c>
      <c r="B165" s="864">
        <v>3335</v>
      </c>
      <c r="C165" s="890" t="s">
        <v>284</v>
      </c>
      <c r="D165" s="891" t="s">
        <v>285</v>
      </c>
      <c r="E165" s="672"/>
      <c r="F165" s="816"/>
      <c r="G165" s="672"/>
      <c r="H165" s="672">
        <f>Y165-AL165</f>
        <v>0</v>
      </c>
      <c r="I165" s="672"/>
      <c r="J165" s="673">
        <f t="shared" si="37"/>
        <v>0</v>
      </c>
      <c r="K165" s="674"/>
      <c r="L165" s="662"/>
      <c r="M165" s="662"/>
      <c r="N165" s="662"/>
      <c r="O165" s="662"/>
      <c r="P165" s="662"/>
      <c r="Q165" s="662"/>
      <c r="R165" s="662"/>
      <c r="S165" s="662"/>
      <c r="T165" s="662"/>
      <c r="U165" s="855"/>
      <c r="V165" s="672"/>
      <c r="W165" s="672"/>
      <c r="X165" s="672"/>
      <c r="Y165" s="672">
        <v>7710</v>
      </c>
      <c r="Z165" s="680"/>
      <c r="AA165" s="673"/>
      <c r="AB165" s="674"/>
      <c r="AC165" s="662"/>
      <c r="AD165" s="662"/>
      <c r="AE165" s="662"/>
      <c r="AF165" s="662"/>
      <c r="AG165" s="662"/>
      <c r="AH165" s="662"/>
      <c r="AI165" s="662"/>
      <c r="AJ165" s="662"/>
      <c r="AK165" s="694"/>
      <c r="AL165" s="676">
        <f>3600+1440+2670</f>
        <v>7710</v>
      </c>
      <c r="AM165" s="808">
        <f t="shared" si="36"/>
        <v>0</v>
      </c>
      <c r="AN165" s="870" t="s">
        <v>405</v>
      </c>
    </row>
    <row r="166" spans="1:40" s="990" customFormat="1" ht="21.75" thickBot="1" x14ac:dyDescent="0.4">
      <c r="A166" s="868" t="s">
        <v>28</v>
      </c>
      <c r="B166" s="864">
        <v>3335</v>
      </c>
      <c r="C166" s="890" t="s">
        <v>284</v>
      </c>
      <c r="D166" s="891" t="s">
        <v>285</v>
      </c>
      <c r="E166" s="672"/>
      <c r="F166" s="816"/>
      <c r="G166" s="672">
        <f>X166-AL166</f>
        <v>0</v>
      </c>
      <c r="H166" s="672"/>
      <c r="I166" s="672"/>
      <c r="J166" s="673">
        <f t="shared" si="37"/>
        <v>0</v>
      </c>
      <c r="K166" s="674"/>
      <c r="L166" s="662"/>
      <c r="M166" s="662"/>
      <c r="N166" s="662"/>
      <c r="O166" s="662"/>
      <c r="P166" s="662"/>
      <c r="Q166" s="662"/>
      <c r="R166" s="662"/>
      <c r="S166" s="662"/>
      <c r="T166" s="662"/>
      <c r="U166" s="855"/>
      <c r="V166" s="672"/>
      <c r="W166" s="672"/>
      <c r="X166" s="672">
        <v>11700</v>
      </c>
      <c r="Y166" s="672"/>
      <c r="Z166" s="680"/>
      <c r="AA166" s="672"/>
      <c r="AB166" s="674"/>
      <c r="AC166" s="662"/>
      <c r="AD166" s="662"/>
      <c r="AE166" s="662"/>
      <c r="AF166" s="662"/>
      <c r="AG166" s="662"/>
      <c r="AH166" s="662"/>
      <c r="AI166" s="662"/>
      <c r="AJ166" s="662"/>
      <c r="AK166" s="694"/>
      <c r="AL166" s="676">
        <f>1440+2160+1440+4950+1710</f>
        <v>11700</v>
      </c>
      <c r="AM166" s="808">
        <f t="shared" si="36"/>
        <v>0</v>
      </c>
      <c r="AN166" s="870" t="s">
        <v>536</v>
      </c>
    </row>
    <row r="167" spans="1:40" s="39" customFormat="1" ht="21.75" thickBot="1" x14ac:dyDescent="0.4">
      <c r="A167" s="868" t="s">
        <v>28</v>
      </c>
      <c r="B167" s="864">
        <v>3335</v>
      </c>
      <c r="C167" s="890" t="s">
        <v>284</v>
      </c>
      <c r="D167" s="891" t="s">
        <v>285</v>
      </c>
      <c r="E167" s="672"/>
      <c r="F167" s="816">
        <f>W167-AL167</f>
        <v>0</v>
      </c>
      <c r="G167" s="672"/>
      <c r="H167" s="672"/>
      <c r="I167" s="672"/>
      <c r="J167" s="673">
        <f t="shared" si="37"/>
        <v>0</v>
      </c>
      <c r="K167" s="674"/>
      <c r="L167" s="662"/>
      <c r="M167" s="662"/>
      <c r="N167" s="662"/>
      <c r="O167" s="662"/>
      <c r="P167" s="662"/>
      <c r="Q167" s="662"/>
      <c r="R167" s="662"/>
      <c r="S167" s="662"/>
      <c r="T167" s="662"/>
      <c r="U167" s="855"/>
      <c r="V167" s="672"/>
      <c r="W167" s="672">
        <v>10710</v>
      </c>
      <c r="X167" s="672"/>
      <c r="Y167" s="672"/>
      <c r="Z167" s="680"/>
      <c r="AA167" s="672"/>
      <c r="AB167" s="674"/>
      <c r="AC167" s="662"/>
      <c r="AD167" s="662"/>
      <c r="AE167" s="662"/>
      <c r="AF167" s="662"/>
      <c r="AG167" s="662"/>
      <c r="AH167" s="662"/>
      <c r="AI167" s="662"/>
      <c r="AJ167" s="662"/>
      <c r="AK167" s="694"/>
      <c r="AL167" s="676">
        <f>1440+2160+7110</f>
        <v>10710</v>
      </c>
      <c r="AM167" s="808">
        <f t="shared" si="36"/>
        <v>0</v>
      </c>
      <c r="AN167" s="870" t="s">
        <v>543</v>
      </c>
    </row>
    <row r="168" spans="1:40" s="39" customFormat="1" ht="21.75" thickBot="1" x14ac:dyDescent="0.4">
      <c r="A168" s="1020" t="s">
        <v>28</v>
      </c>
      <c r="B168" s="1021">
        <v>3354</v>
      </c>
      <c r="C168" s="1022" t="s">
        <v>334</v>
      </c>
      <c r="D168" s="1023" t="s">
        <v>335</v>
      </c>
      <c r="E168" s="1016">
        <f>V168-AL168</f>
        <v>0</v>
      </c>
      <c r="F168" s="1024"/>
      <c r="G168" s="1016"/>
      <c r="H168" s="1016"/>
      <c r="I168" s="1016"/>
      <c r="J168" s="673">
        <f t="shared" si="37"/>
        <v>0</v>
      </c>
      <c r="K168" s="1017"/>
      <c r="L168" s="1018"/>
      <c r="M168" s="1018"/>
      <c r="N168" s="1018"/>
      <c r="O168" s="1018"/>
      <c r="P168" s="1018"/>
      <c r="Q168" s="1018"/>
      <c r="R168" s="1018"/>
      <c r="S168" s="1018"/>
      <c r="T168" s="1018"/>
      <c r="U168" s="855"/>
      <c r="V168" s="1016">
        <v>200000</v>
      </c>
      <c r="W168" s="1016"/>
      <c r="X168" s="1016"/>
      <c r="Y168" s="1016"/>
      <c r="Z168" s="1025"/>
      <c r="AA168" s="1016"/>
      <c r="AB168" s="1017"/>
      <c r="AC168" s="1018"/>
      <c r="AD168" s="1018"/>
      <c r="AE168" s="1018"/>
      <c r="AF168" s="1018"/>
      <c r="AG168" s="1018"/>
      <c r="AH168" s="1018"/>
      <c r="AI168" s="1018"/>
      <c r="AJ168" s="1018"/>
      <c r="AK168" s="1026"/>
      <c r="AL168" s="676">
        <v>200000</v>
      </c>
      <c r="AM168" s="808">
        <f t="shared" si="36"/>
        <v>0</v>
      </c>
      <c r="AN168" s="870" t="s">
        <v>421</v>
      </c>
    </row>
    <row r="169" spans="1:40" s="39" customFormat="1" ht="21.75" thickBot="1" x14ac:dyDescent="0.4">
      <c r="A169" s="868" t="s">
        <v>28</v>
      </c>
      <c r="B169" s="971">
        <v>3353</v>
      </c>
      <c r="C169" s="890" t="s">
        <v>334</v>
      </c>
      <c r="D169" s="891" t="s">
        <v>336</v>
      </c>
      <c r="E169" s="672"/>
      <c r="F169" s="816"/>
      <c r="G169" s="672"/>
      <c r="H169" s="672"/>
      <c r="I169" s="672"/>
      <c r="J169" s="673">
        <f t="shared" si="37"/>
        <v>0</v>
      </c>
      <c r="K169" s="674"/>
      <c r="L169" s="662"/>
      <c r="M169" s="662">
        <f>AD169-AL169</f>
        <v>0</v>
      </c>
      <c r="N169" s="662"/>
      <c r="O169" s="662"/>
      <c r="P169" s="662"/>
      <c r="Q169" s="662"/>
      <c r="R169" s="662"/>
      <c r="S169" s="662"/>
      <c r="T169" s="662"/>
      <c r="U169" s="855"/>
      <c r="V169" s="672"/>
      <c r="W169" s="672"/>
      <c r="X169" s="672"/>
      <c r="Y169" s="672"/>
      <c r="Z169" s="680"/>
      <c r="AA169" s="673"/>
      <c r="AB169" s="674"/>
      <c r="AC169" s="662"/>
      <c r="AD169" s="662">
        <v>30000</v>
      </c>
      <c r="AE169" s="662"/>
      <c r="AF169" s="662"/>
      <c r="AG169" s="662"/>
      <c r="AH169" s="662"/>
      <c r="AI169" s="662"/>
      <c r="AJ169" s="662"/>
      <c r="AK169" s="694"/>
      <c r="AL169" s="676">
        <v>30000</v>
      </c>
      <c r="AM169" s="808">
        <f t="shared" si="36"/>
        <v>0</v>
      </c>
      <c r="AN169" s="870" t="s">
        <v>400</v>
      </c>
    </row>
    <row r="170" spans="1:40" s="39" customFormat="1" ht="21.75" thickBot="1" x14ac:dyDescent="0.4">
      <c r="A170" s="868" t="s">
        <v>28</v>
      </c>
      <c r="B170" s="971">
        <v>3353</v>
      </c>
      <c r="C170" s="890" t="s">
        <v>334</v>
      </c>
      <c r="D170" s="891" t="s">
        <v>336</v>
      </c>
      <c r="E170" s="672"/>
      <c r="F170" s="816"/>
      <c r="G170" s="672"/>
      <c r="H170" s="672"/>
      <c r="I170" s="672"/>
      <c r="J170" s="673">
        <f t="shared" si="37"/>
        <v>0</v>
      </c>
      <c r="K170" s="674"/>
      <c r="L170" s="662"/>
      <c r="M170" s="662"/>
      <c r="N170" s="662">
        <f>AE170-AL170</f>
        <v>0</v>
      </c>
      <c r="O170" s="662"/>
      <c r="P170" s="662"/>
      <c r="Q170" s="662"/>
      <c r="R170" s="662"/>
      <c r="S170" s="662"/>
      <c r="T170" s="662"/>
      <c r="U170" s="855"/>
      <c r="V170" s="672"/>
      <c r="W170" s="672"/>
      <c r="X170" s="672"/>
      <c r="Y170" s="672"/>
      <c r="Z170" s="680"/>
      <c r="AA170" s="673"/>
      <c r="AB170" s="674"/>
      <c r="AC170" s="662"/>
      <c r="AD170" s="662"/>
      <c r="AE170" s="662">
        <v>30000</v>
      </c>
      <c r="AF170" s="662"/>
      <c r="AG170" s="662"/>
      <c r="AH170" s="662"/>
      <c r="AI170" s="662"/>
      <c r="AJ170" s="662"/>
      <c r="AK170" s="694"/>
      <c r="AL170" s="676">
        <v>30000</v>
      </c>
      <c r="AM170" s="808">
        <f t="shared" si="36"/>
        <v>0</v>
      </c>
      <c r="AN170" s="870" t="s">
        <v>400</v>
      </c>
    </row>
    <row r="171" spans="1:40" s="39" customFormat="1" ht="21.75" thickBot="1" x14ac:dyDescent="0.4">
      <c r="A171" s="868" t="s">
        <v>28</v>
      </c>
      <c r="B171" s="971">
        <v>3352</v>
      </c>
      <c r="C171" s="890" t="s">
        <v>334</v>
      </c>
      <c r="D171" s="891" t="s">
        <v>336</v>
      </c>
      <c r="E171" s="672"/>
      <c r="F171" s="816"/>
      <c r="G171" s="672"/>
      <c r="H171" s="672"/>
      <c r="I171" s="672">
        <f>Z171-AL171</f>
        <v>0</v>
      </c>
      <c r="J171" s="673">
        <f t="shared" si="37"/>
        <v>0</v>
      </c>
      <c r="K171" s="674"/>
      <c r="L171" s="662"/>
      <c r="M171" s="662"/>
      <c r="N171" s="662"/>
      <c r="O171" s="662"/>
      <c r="P171" s="662"/>
      <c r="Q171" s="662"/>
      <c r="R171" s="662"/>
      <c r="S171" s="662"/>
      <c r="T171" s="662"/>
      <c r="U171" s="855"/>
      <c r="V171" s="672"/>
      <c r="W171" s="672"/>
      <c r="X171" s="672"/>
      <c r="Y171" s="672"/>
      <c r="Z171" s="672">
        <v>28500</v>
      </c>
      <c r="AA171" s="672"/>
      <c r="AB171" s="674"/>
      <c r="AC171" s="662"/>
      <c r="AD171" s="662"/>
      <c r="AE171" s="662"/>
      <c r="AF171" s="662"/>
      <c r="AG171" s="662"/>
      <c r="AH171" s="662"/>
      <c r="AI171" s="662"/>
      <c r="AJ171" s="662"/>
      <c r="AK171" s="694"/>
      <c r="AL171" s="676">
        <v>28500</v>
      </c>
      <c r="AM171" s="808">
        <f t="shared" si="36"/>
        <v>0</v>
      </c>
      <c r="AN171" s="870" t="s">
        <v>399</v>
      </c>
    </row>
    <row r="172" spans="1:40" s="39" customFormat="1" ht="21.75" thickBot="1" x14ac:dyDescent="0.4">
      <c r="A172" s="868" t="s">
        <v>28</v>
      </c>
      <c r="B172" s="971">
        <v>3352</v>
      </c>
      <c r="C172" s="890" t="s">
        <v>334</v>
      </c>
      <c r="D172" s="891" t="s">
        <v>336</v>
      </c>
      <c r="E172" s="672"/>
      <c r="F172" s="816"/>
      <c r="G172" s="672"/>
      <c r="H172" s="672">
        <f>Y172-AL172</f>
        <v>0</v>
      </c>
      <c r="I172" s="672"/>
      <c r="J172" s="673">
        <f t="shared" si="37"/>
        <v>0</v>
      </c>
      <c r="K172" s="674"/>
      <c r="L172" s="662"/>
      <c r="M172" s="662"/>
      <c r="N172" s="662"/>
      <c r="O172" s="662"/>
      <c r="P172" s="662"/>
      <c r="Q172" s="662"/>
      <c r="R172" s="662"/>
      <c r="S172" s="662"/>
      <c r="T172" s="662"/>
      <c r="U172" s="855"/>
      <c r="V172" s="672"/>
      <c r="W172" s="672"/>
      <c r="X172" s="672"/>
      <c r="Y172" s="672">
        <v>46500</v>
      </c>
      <c r="Z172" s="680"/>
      <c r="AA172" s="672"/>
      <c r="AB172" s="674"/>
      <c r="AC172" s="662"/>
      <c r="AD172" s="662"/>
      <c r="AE172" s="662"/>
      <c r="AF172" s="662"/>
      <c r="AG172" s="662"/>
      <c r="AH172" s="662"/>
      <c r="AI172" s="662"/>
      <c r="AJ172" s="662"/>
      <c r="AK172" s="694"/>
      <c r="AL172" s="676">
        <f>40500+6000</f>
        <v>46500</v>
      </c>
      <c r="AM172" s="808">
        <f t="shared" si="36"/>
        <v>0</v>
      </c>
      <c r="AN172" s="870" t="s">
        <v>537</v>
      </c>
    </row>
    <row r="173" spans="1:40" s="39" customFormat="1" ht="21.75" thickBot="1" x14ac:dyDescent="0.4">
      <c r="A173" s="868" t="s">
        <v>28</v>
      </c>
      <c r="B173" s="971">
        <v>3352</v>
      </c>
      <c r="C173" s="890" t="s">
        <v>334</v>
      </c>
      <c r="D173" s="891" t="s">
        <v>336</v>
      </c>
      <c r="E173" s="672"/>
      <c r="F173" s="816"/>
      <c r="G173" s="672">
        <f>X173-AL173</f>
        <v>0</v>
      </c>
      <c r="H173" s="672"/>
      <c r="I173" s="672"/>
      <c r="J173" s="673">
        <f t="shared" si="37"/>
        <v>0</v>
      </c>
      <c r="K173" s="674"/>
      <c r="L173" s="662"/>
      <c r="M173" s="662"/>
      <c r="N173" s="662"/>
      <c r="O173" s="662"/>
      <c r="P173" s="662"/>
      <c r="Q173" s="662"/>
      <c r="R173" s="662"/>
      <c r="S173" s="662"/>
      <c r="T173" s="662"/>
      <c r="U173" s="855"/>
      <c r="V173" s="672"/>
      <c r="W173" s="672"/>
      <c r="X173" s="672">
        <v>51000</v>
      </c>
      <c r="Y173" s="672"/>
      <c r="Z173" s="680"/>
      <c r="AA173" s="673"/>
      <c r="AB173" s="674"/>
      <c r="AC173" s="662"/>
      <c r="AD173" s="662"/>
      <c r="AE173" s="662"/>
      <c r="AF173" s="662"/>
      <c r="AG173" s="662"/>
      <c r="AH173" s="662"/>
      <c r="AI173" s="662"/>
      <c r="AJ173" s="662"/>
      <c r="AK173" s="694"/>
      <c r="AL173" s="676">
        <v>51000</v>
      </c>
      <c r="AM173" s="808">
        <f t="shared" si="36"/>
        <v>0</v>
      </c>
      <c r="AN173" s="870" t="s">
        <v>399</v>
      </c>
    </row>
    <row r="174" spans="1:40" s="39" customFormat="1" ht="21.75" thickBot="1" x14ac:dyDescent="0.4">
      <c r="A174" s="868" t="s">
        <v>28</v>
      </c>
      <c r="B174" s="971">
        <v>3352</v>
      </c>
      <c r="C174" s="890" t="s">
        <v>334</v>
      </c>
      <c r="D174" s="891" t="s">
        <v>336</v>
      </c>
      <c r="E174" s="672"/>
      <c r="F174" s="816">
        <f>W174-AL174</f>
        <v>0</v>
      </c>
      <c r="G174" s="672"/>
      <c r="H174" s="672"/>
      <c r="I174" s="672"/>
      <c r="J174" s="673">
        <f t="shared" si="37"/>
        <v>0</v>
      </c>
      <c r="K174" s="674"/>
      <c r="L174" s="662"/>
      <c r="M174" s="662"/>
      <c r="N174" s="662"/>
      <c r="O174" s="662"/>
      <c r="P174" s="662"/>
      <c r="Q174" s="662"/>
      <c r="R174" s="662"/>
      <c r="S174" s="662"/>
      <c r="T174" s="662"/>
      <c r="U174" s="855"/>
      <c r="V174" s="672"/>
      <c r="W174" s="672">
        <v>36000</v>
      </c>
      <c r="X174" s="672"/>
      <c r="Y174" s="672"/>
      <c r="Z174" s="680"/>
      <c r="AA174" s="673"/>
      <c r="AB174" s="674"/>
      <c r="AC174" s="662"/>
      <c r="AD174" s="662"/>
      <c r="AE174" s="662"/>
      <c r="AF174" s="662"/>
      <c r="AG174" s="662"/>
      <c r="AH174" s="662"/>
      <c r="AI174" s="662"/>
      <c r="AJ174" s="662"/>
      <c r="AK174" s="694"/>
      <c r="AL174" s="676">
        <v>36000</v>
      </c>
      <c r="AM174" s="808">
        <f t="shared" si="36"/>
        <v>0</v>
      </c>
      <c r="AN174" s="870" t="s">
        <v>399</v>
      </c>
    </row>
    <row r="175" spans="1:40" s="39" customFormat="1" ht="21.75" thickBot="1" x14ac:dyDescent="0.4">
      <c r="A175" s="868" t="s">
        <v>28</v>
      </c>
      <c r="B175" s="971">
        <v>3359</v>
      </c>
      <c r="C175" s="890" t="s">
        <v>397</v>
      </c>
      <c r="D175" s="891" t="s">
        <v>398</v>
      </c>
      <c r="E175" s="672">
        <f>V175-AL175</f>
        <v>0</v>
      </c>
      <c r="F175" s="816"/>
      <c r="G175" s="672"/>
      <c r="H175" s="672"/>
      <c r="I175" s="672"/>
      <c r="J175" s="673"/>
      <c r="K175" s="674"/>
      <c r="L175" s="662"/>
      <c r="M175" s="662"/>
      <c r="N175" s="662"/>
      <c r="O175" s="662"/>
      <c r="P175" s="662"/>
      <c r="Q175" s="662"/>
      <c r="R175" s="662"/>
      <c r="S175" s="662"/>
      <c r="T175" s="662"/>
      <c r="U175" s="855"/>
      <c r="V175" s="672">
        <v>200000</v>
      </c>
      <c r="W175" s="672"/>
      <c r="X175" s="672"/>
      <c r="Y175" s="672"/>
      <c r="Z175" s="680"/>
      <c r="AA175" s="672"/>
      <c r="AB175" s="672"/>
      <c r="AC175" s="662"/>
      <c r="AD175" s="662"/>
      <c r="AE175" s="662"/>
      <c r="AF175" s="662"/>
      <c r="AG175" s="662"/>
      <c r="AH175" s="662"/>
      <c r="AI175" s="662"/>
      <c r="AJ175" s="662"/>
      <c r="AK175" s="662"/>
      <c r="AL175" s="676">
        <f>83125+116875</f>
        <v>200000</v>
      </c>
      <c r="AM175" s="808">
        <f t="shared" si="36"/>
        <v>0</v>
      </c>
      <c r="AN175" s="870" t="s">
        <v>478</v>
      </c>
    </row>
    <row r="176" spans="1:40" s="39" customFormat="1" ht="21.75" thickBot="1" x14ac:dyDescent="0.4">
      <c r="A176" s="868" t="s">
        <v>28</v>
      </c>
      <c r="B176" s="971">
        <v>3376</v>
      </c>
      <c r="C176" s="890" t="s">
        <v>390</v>
      </c>
      <c r="D176" s="891" t="s">
        <v>392</v>
      </c>
      <c r="E176" s="672">
        <f>V176-AL176</f>
        <v>0</v>
      </c>
      <c r="F176" s="816"/>
      <c r="G176" s="672"/>
      <c r="H176" s="672"/>
      <c r="I176" s="672"/>
      <c r="J176" s="673">
        <f t="shared" si="37"/>
        <v>0</v>
      </c>
      <c r="K176" s="674"/>
      <c r="L176" s="662"/>
      <c r="M176" s="662"/>
      <c r="N176" s="662"/>
      <c r="O176" s="662"/>
      <c r="P176" s="662"/>
      <c r="Q176" s="662"/>
      <c r="R176" s="662"/>
      <c r="S176" s="662"/>
      <c r="T176" s="662"/>
      <c r="U176" s="855"/>
      <c r="V176" s="672">
        <v>250000</v>
      </c>
      <c r="W176" s="672"/>
      <c r="X176" s="672"/>
      <c r="Y176" s="672"/>
      <c r="Z176" s="680"/>
      <c r="AA176" s="672"/>
      <c r="AB176" s="672"/>
      <c r="AC176" s="662"/>
      <c r="AD176" s="662"/>
      <c r="AE176" s="662"/>
      <c r="AF176" s="662"/>
      <c r="AG176" s="662"/>
      <c r="AH176" s="662"/>
      <c r="AI176" s="662"/>
      <c r="AJ176" s="662"/>
      <c r="AK176" s="662"/>
      <c r="AL176" s="676">
        <v>250000</v>
      </c>
      <c r="AM176" s="808">
        <f t="shared" si="36"/>
        <v>0</v>
      </c>
      <c r="AN176" s="870" t="s">
        <v>528</v>
      </c>
    </row>
    <row r="177" spans="1:40" s="39" customFormat="1" ht="21.75" thickBot="1" x14ac:dyDescent="0.4">
      <c r="A177" s="1132" t="s">
        <v>28</v>
      </c>
      <c r="B177" s="971"/>
      <c r="C177" s="890" t="s">
        <v>403</v>
      </c>
      <c r="D177" s="891" t="s">
        <v>336</v>
      </c>
      <c r="E177" s="816"/>
      <c r="F177" s="816"/>
      <c r="G177" s="672"/>
      <c r="H177" s="672"/>
      <c r="I177" s="672"/>
      <c r="J177" s="673"/>
      <c r="K177" s="674">
        <f>AB177-AL177</f>
        <v>0</v>
      </c>
      <c r="L177" s="662"/>
      <c r="M177" s="662"/>
      <c r="N177" s="662"/>
      <c r="O177" s="662"/>
      <c r="P177" s="662"/>
      <c r="Q177" s="662"/>
      <c r="R177" s="662"/>
      <c r="S177" s="662"/>
      <c r="T177" s="662"/>
      <c r="U177" s="855"/>
      <c r="V177" s="672"/>
      <c r="W177" s="672"/>
      <c r="X177" s="672"/>
      <c r="Y177" s="672"/>
      <c r="Z177" s="680"/>
      <c r="AA177" s="672"/>
      <c r="AB177" s="672">
        <v>1000000</v>
      </c>
      <c r="AC177" s="662"/>
      <c r="AD177" s="662"/>
      <c r="AE177" s="662"/>
      <c r="AF177" s="662"/>
      <c r="AG177" s="662"/>
      <c r="AH177" s="662"/>
      <c r="AI177" s="662"/>
      <c r="AJ177" s="662"/>
      <c r="AK177" s="662"/>
      <c r="AL177" s="676">
        <v>1000000</v>
      </c>
      <c r="AM177" s="808">
        <f t="shared" si="36"/>
        <v>0</v>
      </c>
      <c r="AN177" s="870" t="s">
        <v>404</v>
      </c>
    </row>
    <row r="178" spans="1:40" s="381" customFormat="1" ht="21.75" thickBot="1" x14ac:dyDescent="0.4">
      <c r="A178" s="1132" t="s">
        <v>28</v>
      </c>
      <c r="B178" s="864">
        <v>3384</v>
      </c>
      <c r="C178" s="923" t="s">
        <v>426</v>
      </c>
      <c r="D178" s="882" t="s">
        <v>335</v>
      </c>
      <c r="E178" s="816"/>
      <c r="F178" s="816"/>
      <c r="G178" s="672"/>
      <c r="H178" s="672"/>
      <c r="I178" s="672"/>
      <c r="J178" s="673"/>
      <c r="K178" s="674"/>
      <c r="L178" s="662"/>
      <c r="M178" s="662">
        <f>AD178-AL178</f>
        <v>0</v>
      </c>
      <c r="N178" s="662"/>
      <c r="O178" s="662"/>
      <c r="P178" s="662"/>
      <c r="Q178" s="662"/>
      <c r="R178" s="662"/>
      <c r="S178" s="662"/>
      <c r="T178" s="662"/>
      <c r="U178" s="855"/>
      <c r="V178" s="672"/>
      <c r="W178" s="672"/>
      <c r="X178" s="672"/>
      <c r="Y178" s="672"/>
      <c r="Z178" s="693"/>
      <c r="AA178" s="672"/>
      <c r="AB178" s="672"/>
      <c r="AC178" s="662"/>
      <c r="AD178" s="662">
        <v>30000</v>
      </c>
      <c r="AE178" s="662"/>
      <c r="AF178" s="662"/>
      <c r="AG178" s="662"/>
      <c r="AH178" s="662"/>
      <c r="AI178" s="662"/>
      <c r="AJ178" s="662"/>
      <c r="AK178" s="662"/>
      <c r="AL178" s="676">
        <v>30000</v>
      </c>
      <c r="AM178" s="808">
        <f t="shared" si="36"/>
        <v>0</v>
      </c>
      <c r="AN178" s="870" t="s">
        <v>469</v>
      </c>
    </row>
    <row r="179" spans="1:40" s="381" customFormat="1" ht="21.75" thickBot="1" x14ac:dyDescent="0.4">
      <c r="A179" s="1132" t="s">
        <v>28</v>
      </c>
      <c r="B179" s="864">
        <v>3385</v>
      </c>
      <c r="C179" s="923" t="s">
        <v>425</v>
      </c>
      <c r="D179" s="882" t="s">
        <v>335</v>
      </c>
      <c r="E179" s="816"/>
      <c r="F179" s="816"/>
      <c r="G179" s="672"/>
      <c r="H179" s="672"/>
      <c r="I179" s="672"/>
      <c r="J179" s="673">
        <f>SUM(F179:I179)</f>
        <v>0</v>
      </c>
      <c r="K179" s="674"/>
      <c r="L179" s="662"/>
      <c r="M179" s="662"/>
      <c r="N179" s="662">
        <f>AE179-AL179</f>
        <v>0</v>
      </c>
      <c r="O179" s="662"/>
      <c r="P179" s="662"/>
      <c r="Q179" s="662"/>
      <c r="R179" s="662"/>
      <c r="S179" s="662"/>
      <c r="T179" s="662"/>
      <c r="U179" s="855"/>
      <c r="V179" s="672"/>
      <c r="W179" s="672"/>
      <c r="X179" s="672"/>
      <c r="Y179" s="672"/>
      <c r="Z179" s="693"/>
      <c r="AA179" s="672"/>
      <c r="AB179" s="672"/>
      <c r="AC179" s="1131"/>
      <c r="AD179" s="662"/>
      <c r="AE179" s="662">
        <v>30000</v>
      </c>
      <c r="AF179" s="662"/>
      <c r="AG179" s="662"/>
      <c r="AH179" s="662"/>
      <c r="AI179" s="662"/>
      <c r="AJ179" s="662"/>
      <c r="AK179" s="662"/>
      <c r="AL179" s="676">
        <v>30000</v>
      </c>
      <c r="AM179" s="808">
        <f t="shared" si="36"/>
        <v>0</v>
      </c>
      <c r="AN179" s="870" t="s">
        <v>513</v>
      </c>
    </row>
    <row r="180" spans="1:40" s="39" customFormat="1" ht="21.75" thickBot="1" x14ac:dyDescent="0.4">
      <c r="A180" s="868" t="s">
        <v>28</v>
      </c>
      <c r="B180" s="869">
        <v>3396</v>
      </c>
      <c r="C180" s="890" t="s">
        <v>464</v>
      </c>
      <c r="D180" s="891" t="s">
        <v>465</v>
      </c>
      <c r="E180" s="672">
        <f>V180-AL180</f>
        <v>0</v>
      </c>
      <c r="F180" s="816"/>
      <c r="G180" s="672"/>
      <c r="H180" s="672"/>
      <c r="I180" s="672"/>
      <c r="J180" s="673">
        <f>SUM(F180:I180)</f>
        <v>0</v>
      </c>
      <c r="K180" s="674"/>
      <c r="L180" s="662"/>
      <c r="M180" s="662"/>
      <c r="N180" s="662"/>
      <c r="O180" s="662"/>
      <c r="P180" s="662"/>
      <c r="Q180" s="662"/>
      <c r="R180" s="662"/>
      <c r="S180" s="662"/>
      <c r="T180" s="662"/>
      <c r="U180" s="855"/>
      <c r="V180" s="672">
        <v>250000</v>
      </c>
      <c r="W180" s="672"/>
      <c r="X180" s="672"/>
      <c r="Y180" s="672"/>
      <c r="Z180" s="680"/>
      <c r="AA180" s="672"/>
      <c r="AB180" s="672"/>
      <c r="AC180" s="662"/>
      <c r="AD180" s="662"/>
      <c r="AE180" s="662"/>
      <c r="AF180" s="662"/>
      <c r="AG180" s="662"/>
      <c r="AH180" s="662"/>
      <c r="AI180" s="662"/>
      <c r="AJ180" s="662"/>
      <c r="AK180" s="662"/>
      <c r="AL180" s="676">
        <v>250000</v>
      </c>
      <c r="AM180" s="808">
        <f>(V180+W180+X180+Y180+Z180+AB180+AC180+AD180+AE180+AF180+AG180+AH180+AI180+AJ180+AK180)-AL180</f>
        <v>0</v>
      </c>
      <c r="AN180" s="870" t="s">
        <v>538</v>
      </c>
    </row>
    <row r="181" spans="1:40" s="39" customFormat="1" ht="21.75" thickBot="1" x14ac:dyDescent="0.4">
      <c r="A181" s="868" t="s">
        <v>28</v>
      </c>
      <c r="B181" s="1125">
        <v>3398</v>
      </c>
      <c r="C181" s="890" t="s">
        <v>481</v>
      </c>
      <c r="D181" s="891" t="s">
        <v>335</v>
      </c>
      <c r="E181" s="672"/>
      <c r="F181" s="816"/>
      <c r="G181" s="672"/>
      <c r="H181" s="672"/>
      <c r="I181" s="672">
        <f>Z181-AL181</f>
        <v>0</v>
      </c>
      <c r="J181" s="673">
        <f>SUM(F181:I181)</f>
        <v>0</v>
      </c>
      <c r="K181" s="1126"/>
      <c r="L181" s="662"/>
      <c r="M181" s="662"/>
      <c r="N181" s="662"/>
      <c r="O181" s="662"/>
      <c r="P181" s="662"/>
      <c r="Q181" s="662"/>
      <c r="R181" s="662"/>
      <c r="S181" s="662"/>
      <c r="T181" s="662"/>
      <c r="U181" s="855"/>
      <c r="V181" s="672"/>
      <c r="W181" s="672"/>
      <c r="X181" s="672"/>
      <c r="Y181" s="672"/>
      <c r="Z181" s="672">
        <v>27000</v>
      </c>
      <c r="AA181" s="672"/>
      <c r="AB181" s="672"/>
      <c r="AC181" s="662"/>
      <c r="AD181" s="662"/>
      <c r="AE181" s="662"/>
      <c r="AF181" s="662"/>
      <c r="AG181" s="662"/>
      <c r="AH181" s="662"/>
      <c r="AI181" s="662"/>
      <c r="AJ181" s="662"/>
      <c r="AK181" s="662"/>
      <c r="AL181" s="676">
        <v>27000</v>
      </c>
      <c r="AM181" s="808">
        <f>(V181+W181+X181+Y181+Z181+AB181+AC181+AD181+AE181+AF181+AG181+AH181+AI181+AJ181+AK181)-AL181</f>
        <v>0</v>
      </c>
      <c r="AN181" s="870" t="s">
        <v>508</v>
      </c>
    </row>
    <row r="182" spans="1:40" s="379" customFormat="1" ht="21.75" thickBot="1" x14ac:dyDescent="0.4">
      <c r="A182" s="971" t="s">
        <v>28</v>
      </c>
      <c r="B182" s="869">
        <v>3404</v>
      </c>
      <c r="C182" s="923" t="s">
        <v>499</v>
      </c>
      <c r="D182" s="882" t="s">
        <v>500</v>
      </c>
      <c r="E182" s="672" t="s">
        <v>272</v>
      </c>
      <c r="F182" s="816"/>
      <c r="G182" s="816"/>
      <c r="H182" s="816"/>
      <c r="I182" s="672"/>
      <c r="J182" s="672"/>
      <c r="K182" s="674">
        <f>AB182-AL182</f>
        <v>0</v>
      </c>
      <c r="L182" s="662"/>
      <c r="M182" s="662"/>
      <c r="N182" s="662"/>
      <c r="O182" s="662"/>
      <c r="P182" s="662"/>
      <c r="Q182" s="662"/>
      <c r="R182" s="662"/>
      <c r="S182" s="662"/>
      <c r="T182" s="662"/>
      <c r="U182" s="855"/>
      <c r="V182" s="672"/>
      <c r="W182" s="672"/>
      <c r="X182" s="672"/>
      <c r="Y182" s="672"/>
      <c r="Z182" s="693"/>
      <c r="AA182" s="672"/>
      <c r="AB182" s="674">
        <v>1150900</v>
      </c>
      <c r="AC182" s="662"/>
      <c r="AD182" s="662"/>
      <c r="AE182" s="662"/>
      <c r="AF182" s="662"/>
      <c r="AG182" s="662"/>
      <c r="AH182" s="662"/>
      <c r="AI182" s="662"/>
      <c r="AJ182" s="662"/>
      <c r="AK182" s="768"/>
      <c r="AL182" s="676">
        <f>150900+1000000</f>
        <v>1150900</v>
      </c>
      <c r="AM182" s="676">
        <f>(V182+W182+X182+Y182+Z182+AB182+AC182+AD182+AE182+AF182+AG182+AH182+AI182+AJ182+AK182)-AL182</f>
        <v>0</v>
      </c>
      <c r="AN182" s="870" t="s">
        <v>598</v>
      </c>
    </row>
    <row r="183" spans="1:40" s="381" customFormat="1" ht="21.75" thickBot="1" x14ac:dyDescent="0.4">
      <c r="A183" s="1000" t="s">
        <v>28</v>
      </c>
      <c r="B183" s="378">
        <v>3408</v>
      </c>
      <c r="C183" s="907" t="s">
        <v>425</v>
      </c>
      <c r="D183" s="908" t="s">
        <v>335</v>
      </c>
      <c r="E183" s="1076"/>
      <c r="F183" s="817"/>
      <c r="G183" s="383"/>
      <c r="H183" s="383"/>
      <c r="I183" s="383"/>
      <c r="J183" s="384">
        <f>SUM(F183:I183)</f>
        <v>0</v>
      </c>
      <c r="K183" s="1077"/>
      <c r="L183" s="385"/>
      <c r="M183" s="385"/>
      <c r="N183" s="385">
        <f>AE183-AL183</f>
        <v>10000</v>
      </c>
      <c r="O183" s="385"/>
      <c r="P183" s="385"/>
      <c r="Q183" s="385"/>
      <c r="R183" s="385"/>
      <c r="S183" s="385"/>
      <c r="T183" s="385"/>
      <c r="U183" s="855"/>
      <c r="V183" s="356"/>
      <c r="W183" s="356"/>
      <c r="X183" s="356"/>
      <c r="Y183" s="356"/>
      <c r="Z183" s="387"/>
      <c r="AA183" s="353"/>
      <c r="AB183" s="356"/>
      <c r="AC183" s="976"/>
      <c r="AD183" s="388"/>
      <c r="AE183" s="388">
        <v>10000</v>
      </c>
      <c r="AF183" s="388"/>
      <c r="AG183" s="388"/>
      <c r="AH183" s="388"/>
      <c r="AI183" s="388"/>
      <c r="AJ183" s="388"/>
      <c r="AK183" s="354"/>
      <c r="AL183" s="436"/>
      <c r="AM183" s="998">
        <f t="shared" ref="AM183" si="38">(V183+W183+X183+Y183+Z183+AB183+AC183+AD183+AE183+AF183+AG183+AH183+AI183+AJ183+AK183)-AL183</f>
        <v>10000</v>
      </c>
      <c r="AN183" s="901" t="s">
        <v>427</v>
      </c>
    </row>
    <row r="184" spans="1:40" s="379" customFormat="1" ht="21.75" thickBot="1" x14ac:dyDescent="0.4">
      <c r="A184" s="1144" t="s">
        <v>28</v>
      </c>
      <c r="B184" s="864">
        <v>3411</v>
      </c>
      <c r="C184" s="923" t="s">
        <v>504</v>
      </c>
      <c r="D184" s="882" t="s">
        <v>391</v>
      </c>
      <c r="E184" s="672"/>
      <c r="F184" s="816"/>
      <c r="G184" s="816"/>
      <c r="H184" s="816"/>
      <c r="I184" s="672"/>
      <c r="J184" s="673"/>
      <c r="K184" s="674"/>
      <c r="L184" s="662"/>
      <c r="M184" s="662">
        <f>AD184-AL184</f>
        <v>0</v>
      </c>
      <c r="N184" s="662"/>
      <c r="O184" s="662"/>
      <c r="P184" s="662"/>
      <c r="Q184" s="662"/>
      <c r="R184" s="662"/>
      <c r="S184" s="662"/>
      <c r="T184" s="662"/>
      <c r="U184" s="855"/>
      <c r="V184" s="672"/>
      <c r="W184" s="672"/>
      <c r="X184" s="672"/>
      <c r="Y184" s="672"/>
      <c r="Z184" s="693"/>
      <c r="AA184" s="672"/>
      <c r="AB184" s="674"/>
      <c r="AC184" s="662"/>
      <c r="AD184" s="662">
        <v>6000</v>
      </c>
      <c r="AE184" s="662"/>
      <c r="AF184" s="662"/>
      <c r="AG184" s="662"/>
      <c r="AH184" s="662"/>
      <c r="AI184" s="662"/>
      <c r="AJ184" s="662"/>
      <c r="AK184" s="768"/>
      <c r="AL184" s="1143">
        <v>6000</v>
      </c>
      <c r="AM184" s="676">
        <f t="shared" ref="AM184" si="39">(V184+W184+X184+Y184+Z184+AB184+AC184+AD184+AE184+AF184+AG184+AH184+AI184+AJ184+AK184)-AL184</f>
        <v>0</v>
      </c>
      <c r="AN184" s="870" t="s">
        <v>529</v>
      </c>
    </row>
    <row r="185" spans="1:40" s="39" customFormat="1" ht="23.25" customHeight="1" thickBot="1" x14ac:dyDescent="0.4">
      <c r="A185" s="444" t="s">
        <v>28</v>
      </c>
      <c r="B185" s="445" t="s">
        <v>24</v>
      </c>
      <c r="C185" s="446"/>
      <c r="D185" s="447"/>
      <c r="E185" s="448">
        <f>SUM(E138:E184)</f>
        <v>0</v>
      </c>
      <c r="F185" s="448">
        <f t="shared" ref="F185:J185" si="40">SUM(F138:F181)</f>
        <v>105000</v>
      </c>
      <c r="G185" s="448">
        <f t="shared" si="40"/>
        <v>96000</v>
      </c>
      <c r="H185" s="448">
        <f t="shared" si="40"/>
        <v>0</v>
      </c>
      <c r="I185" s="448">
        <f t="shared" si="40"/>
        <v>0</v>
      </c>
      <c r="J185" s="449">
        <f t="shared" si="40"/>
        <v>201000</v>
      </c>
      <c r="K185" s="448">
        <f>SUM(K182)</f>
        <v>0</v>
      </c>
      <c r="L185" s="468">
        <f>SUM(L138:L181)</f>
        <v>0</v>
      </c>
      <c r="M185" s="448">
        <f>SUM(M138:M184)</f>
        <v>0</v>
      </c>
      <c r="N185" s="448">
        <f>SUM(N138:N184)</f>
        <v>10000</v>
      </c>
      <c r="O185" s="448">
        <f t="shared" ref="O185:T185" si="41">SUM(O138:O181)</f>
        <v>0</v>
      </c>
      <c r="P185" s="448">
        <f t="shared" si="41"/>
        <v>0</v>
      </c>
      <c r="Q185" s="448">
        <f t="shared" si="41"/>
        <v>0</v>
      </c>
      <c r="R185" s="448">
        <f t="shared" si="41"/>
        <v>0</v>
      </c>
      <c r="S185" s="448">
        <f t="shared" si="41"/>
        <v>0</v>
      </c>
      <c r="T185" s="448">
        <f t="shared" si="41"/>
        <v>0</v>
      </c>
      <c r="U185" s="855"/>
      <c r="V185" s="448">
        <f t="shared" ref="V185:AA185" si="42">SUM(V138:V181)</f>
        <v>1400000</v>
      </c>
      <c r="W185" s="448">
        <f t="shared" si="42"/>
        <v>151710</v>
      </c>
      <c r="X185" s="448">
        <f t="shared" si="42"/>
        <v>230400</v>
      </c>
      <c r="Y185" s="448">
        <f t="shared" si="42"/>
        <v>138420</v>
      </c>
      <c r="Z185" s="448">
        <f t="shared" si="42"/>
        <v>164280</v>
      </c>
      <c r="AA185" s="448">
        <f t="shared" si="42"/>
        <v>444450</v>
      </c>
      <c r="AB185" s="448">
        <f>SUM(AB138:AB182)</f>
        <v>6918100</v>
      </c>
      <c r="AC185" s="448">
        <f>SUM(AC138:AC181)</f>
        <v>473000</v>
      </c>
      <c r="AD185" s="448">
        <f>SUM(AD138:AD184)</f>
        <v>86000</v>
      </c>
      <c r="AE185" s="448">
        <f>SUM(AE138:AE184)</f>
        <v>90000</v>
      </c>
      <c r="AF185" s="448">
        <f t="shared" ref="AF185:AK185" si="43">SUM(AF138:AF181)</f>
        <v>19536</v>
      </c>
      <c r="AG185" s="448">
        <f t="shared" si="43"/>
        <v>0</v>
      </c>
      <c r="AH185" s="448">
        <f t="shared" si="43"/>
        <v>200000</v>
      </c>
      <c r="AI185" s="448">
        <f t="shared" si="43"/>
        <v>0</v>
      </c>
      <c r="AJ185" s="448">
        <f t="shared" si="43"/>
        <v>0</v>
      </c>
      <c r="AK185" s="448">
        <f t="shared" si="43"/>
        <v>0</v>
      </c>
      <c r="AL185" s="450"/>
      <c r="AM185" s="451">
        <f>SUM(AM138:AM184)</f>
        <v>211000</v>
      </c>
      <c r="AN185" s="452"/>
    </row>
    <row r="186" spans="1:40" s="39" customFormat="1" ht="21.75" thickBot="1" x14ac:dyDescent="0.4">
      <c r="A186" s="1020" t="s">
        <v>80</v>
      </c>
      <c r="B186" s="1033">
        <v>782</v>
      </c>
      <c r="C186" s="1034" t="s">
        <v>151</v>
      </c>
      <c r="D186" s="1035" t="s">
        <v>152</v>
      </c>
      <c r="E186" s="1015">
        <v>0</v>
      </c>
      <c r="F186" s="1024">
        <v>0</v>
      </c>
      <c r="G186" s="1016">
        <v>0</v>
      </c>
      <c r="H186" s="1016">
        <v>0</v>
      </c>
      <c r="I186" s="1016">
        <v>0</v>
      </c>
      <c r="J186" s="673">
        <f>SUM(F186:I186)</f>
        <v>0</v>
      </c>
      <c r="K186" s="1017">
        <v>0</v>
      </c>
      <c r="L186" s="1018">
        <v>0</v>
      </c>
      <c r="M186" s="1018">
        <v>0</v>
      </c>
      <c r="N186" s="1018">
        <v>0</v>
      </c>
      <c r="O186" s="1018">
        <f>AF186-AL186</f>
        <v>0</v>
      </c>
      <c r="P186" s="1018">
        <v>0</v>
      </c>
      <c r="Q186" s="1018">
        <v>0</v>
      </c>
      <c r="R186" s="1018">
        <v>0</v>
      </c>
      <c r="S186" s="1018">
        <v>0</v>
      </c>
      <c r="T186" s="1018">
        <v>0</v>
      </c>
      <c r="U186" s="855"/>
      <c r="V186" s="1015">
        <v>0</v>
      </c>
      <c r="W186" s="1016">
        <v>0</v>
      </c>
      <c r="X186" s="1016">
        <v>0</v>
      </c>
      <c r="Y186" s="1016">
        <v>0</v>
      </c>
      <c r="Z186" s="1016">
        <v>0</v>
      </c>
      <c r="AA186" s="1016">
        <f>SUM(W186:Z186)</f>
        <v>0</v>
      </c>
      <c r="AB186" s="1017">
        <v>0</v>
      </c>
      <c r="AC186" s="1018">
        <v>0</v>
      </c>
      <c r="AD186" s="1018">
        <v>0</v>
      </c>
      <c r="AE186" s="1018">
        <v>0</v>
      </c>
      <c r="AF186" s="1018">
        <v>2682</v>
      </c>
      <c r="AG186" s="1018">
        <v>0</v>
      </c>
      <c r="AH186" s="1018">
        <v>0</v>
      </c>
      <c r="AI186" s="1018">
        <v>0</v>
      </c>
      <c r="AJ186" s="1018">
        <v>0</v>
      </c>
      <c r="AK186" s="1018">
        <v>0</v>
      </c>
      <c r="AL186" s="1019">
        <v>2682</v>
      </c>
      <c r="AM186" s="677">
        <f t="shared" ref="AM186:AM192" si="44">(V186+W186+X186+Y186+Z186+AB186+AC186+AD186+AE186+AF186+AG186+AH186+AI186+AJ186+AK186)-AL186</f>
        <v>0</v>
      </c>
      <c r="AN186" s="1036" t="s">
        <v>468</v>
      </c>
    </row>
    <row r="187" spans="1:40" s="39" customFormat="1" ht="21.75" thickBot="1" x14ac:dyDescent="0.4">
      <c r="A187" s="863" t="s">
        <v>80</v>
      </c>
      <c r="B187" s="864">
        <v>809</v>
      </c>
      <c r="C187" s="865" t="s">
        <v>158</v>
      </c>
      <c r="D187" s="867" t="s">
        <v>157</v>
      </c>
      <c r="E187" s="671">
        <f>V187-AL187</f>
        <v>0</v>
      </c>
      <c r="F187" s="816">
        <v>0</v>
      </c>
      <c r="G187" s="672">
        <v>0</v>
      </c>
      <c r="H187" s="672">
        <v>0</v>
      </c>
      <c r="I187" s="672">
        <v>0</v>
      </c>
      <c r="J187" s="673">
        <f t="shared" ref="J187:J193" si="45">SUM(F187:I187)</f>
        <v>0</v>
      </c>
      <c r="K187" s="674">
        <v>0</v>
      </c>
      <c r="L187" s="661">
        <v>0</v>
      </c>
      <c r="M187" s="661">
        <v>0</v>
      </c>
      <c r="N187" s="661">
        <v>0</v>
      </c>
      <c r="O187" s="661">
        <v>0</v>
      </c>
      <c r="P187" s="661">
        <v>0</v>
      </c>
      <c r="Q187" s="661">
        <v>0</v>
      </c>
      <c r="R187" s="661">
        <v>0</v>
      </c>
      <c r="S187" s="661">
        <v>0</v>
      </c>
      <c r="T187" s="661">
        <v>0</v>
      </c>
      <c r="U187" s="855"/>
      <c r="V187" s="671">
        <v>250000</v>
      </c>
      <c r="W187" s="672">
        <v>0</v>
      </c>
      <c r="X187" s="672">
        <v>0</v>
      </c>
      <c r="Y187" s="672">
        <v>0</v>
      </c>
      <c r="Z187" s="680">
        <v>0</v>
      </c>
      <c r="AA187" s="673">
        <f>SUM(W187:Z187)</f>
        <v>0</v>
      </c>
      <c r="AB187" s="674">
        <v>0</v>
      </c>
      <c r="AC187" s="661">
        <v>0</v>
      </c>
      <c r="AD187" s="661">
        <v>0</v>
      </c>
      <c r="AE187" s="661">
        <v>0</v>
      </c>
      <c r="AF187" s="661">
        <v>0</v>
      </c>
      <c r="AG187" s="661">
        <v>0</v>
      </c>
      <c r="AH187" s="661">
        <v>0</v>
      </c>
      <c r="AI187" s="661">
        <v>0</v>
      </c>
      <c r="AJ187" s="661">
        <v>0</v>
      </c>
      <c r="AK187" s="661">
        <v>0</v>
      </c>
      <c r="AL187" s="681">
        <v>250000</v>
      </c>
      <c r="AM187" s="677">
        <f t="shared" si="44"/>
        <v>0</v>
      </c>
      <c r="AN187" s="870" t="s">
        <v>370</v>
      </c>
    </row>
    <row r="188" spans="1:40" s="39" customFormat="1" ht="21.75" thickBot="1" x14ac:dyDescent="0.4">
      <c r="A188" s="863" t="s">
        <v>80</v>
      </c>
      <c r="B188" s="864">
        <v>837</v>
      </c>
      <c r="C188" s="865" t="s">
        <v>161</v>
      </c>
      <c r="D188" s="867" t="s">
        <v>163</v>
      </c>
      <c r="E188" s="671"/>
      <c r="F188" s="816"/>
      <c r="G188" s="672"/>
      <c r="H188" s="672"/>
      <c r="I188" s="672"/>
      <c r="J188" s="673">
        <f t="shared" si="45"/>
        <v>0</v>
      </c>
      <c r="K188" s="674"/>
      <c r="L188" s="661"/>
      <c r="M188" s="661"/>
      <c r="N188" s="661"/>
      <c r="O188" s="661">
        <f>AF188-AL188</f>
        <v>0</v>
      </c>
      <c r="P188" s="661"/>
      <c r="Q188" s="661"/>
      <c r="R188" s="661"/>
      <c r="S188" s="661"/>
      <c r="T188" s="661"/>
      <c r="U188" s="855"/>
      <c r="V188" s="671"/>
      <c r="W188" s="672"/>
      <c r="X188" s="672"/>
      <c r="Y188" s="672"/>
      <c r="Z188" s="680"/>
      <c r="AA188" s="673">
        <f>SUM(W188:Z188)</f>
        <v>0</v>
      </c>
      <c r="AB188" s="674"/>
      <c r="AC188" s="661"/>
      <c r="AD188" s="661"/>
      <c r="AE188" s="661"/>
      <c r="AF188" s="661">
        <v>4470</v>
      </c>
      <c r="AG188" s="661"/>
      <c r="AH188" s="661"/>
      <c r="AI188" s="661"/>
      <c r="AJ188" s="661"/>
      <c r="AK188" s="661"/>
      <c r="AL188" s="681">
        <v>4470</v>
      </c>
      <c r="AM188" s="677">
        <f t="shared" si="44"/>
        <v>0</v>
      </c>
      <c r="AN188" s="870" t="s">
        <v>313</v>
      </c>
    </row>
    <row r="189" spans="1:40" s="39" customFormat="1" ht="21.75" thickBot="1" x14ac:dyDescent="0.4">
      <c r="A189" s="682" t="s">
        <v>80</v>
      </c>
      <c r="B189" s="668">
        <v>840</v>
      </c>
      <c r="C189" s="669" t="s">
        <v>177</v>
      </c>
      <c r="D189" s="679" t="s">
        <v>181</v>
      </c>
      <c r="E189" s="671"/>
      <c r="F189" s="816"/>
      <c r="G189" s="672"/>
      <c r="H189" s="672"/>
      <c r="I189" s="672"/>
      <c r="J189" s="673">
        <f t="shared" si="45"/>
        <v>0</v>
      </c>
      <c r="K189" s="674"/>
      <c r="L189" s="662"/>
      <c r="M189" s="662"/>
      <c r="N189" s="662"/>
      <c r="O189" s="662"/>
      <c r="P189" s="662"/>
      <c r="Q189" s="662"/>
      <c r="R189" s="662"/>
      <c r="S189" s="662"/>
      <c r="T189" s="662"/>
      <c r="U189" s="855"/>
      <c r="V189" s="672"/>
      <c r="W189" s="672"/>
      <c r="X189" s="672"/>
      <c r="Y189" s="672">
        <v>8000</v>
      </c>
      <c r="Z189" s="680"/>
      <c r="AA189" s="673">
        <f>SUM(W189:Z189)</f>
        <v>8000</v>
      </c>
      <c r="AB189" s="674"/>
      <c r="AC189" s="662"/>
      <c r="AD189" s="662"/>
      <c r="AE189" s="662"/>
      <c r="AF189" s="662"/>
      <c r="AG189" s="662"/>
      <c r="AH189" s="662"/>
      <c r="AI189" s="662"/>
      <c r="AJ189" s="662"/>
      <c r="AK189" s="662"/>
      <c r="AL189" s="681">
        <f>7330+670</f>
        <v>8000</v>
      </c>
      <c r="AM189" s="677">
        <f t="shared" si="44"/>
        <v>0</v>
      </c>
      <c r="AN189" s="684" t="s">
        <v>227</v>
      </c>
    </row>
    <row r="190" spans="1:40" s="440" customFormat="1" ht="21.75" thickBot="1" x14ac:dyDescent="0.4">
      <c r="A190" s="868" t="s">
        <v>80</v>
      </c>
      <c r="B190" s="864">
        <v>855</v>
      </c>
      <c r="C190" s="865" t="s">
        <v>178</v>
      </c>
      <c r="D190" s="867" t="s">
        <v>182</v>
      </c>
      <c r="E190" s="671">
        <f>V190-AL190</f>
        <v>0</v>
      </c>
      <c r="F190" s="816"/>
      <c r="G190" s="672"/>
      <c r="H190" s="672"/>
      <c r="I190" s="672"/>
      <c r="J190" s="673"/>
      <c r="K190" s="674"/>
      <c r="L190" s="662"/>
      <c r="M190" s="662"/>
      <c r="N190" s="662"/>
      <c r="O190" s="662"/>
      <c r="P190" s="662"/>
      <c r="Q190" s="662"/>
      <c r="R190" s="662"/>
      <c r="S190" s="662"/>
      <c r="T190" s="662"/>
      <c r="U190" s="855"/>
      <c r="V190" s="672">
        <v>225000</v>
      </c>
      <c r="W190" s="672"/>
      <c r="X190" s="672"/>
      <c r="Y190" s="672"/>
      <c r="Z190" s="680"/>
      <c r="AA190" s="673"/>
      <c r="AB190" s="674"/>
      <c r="AC190" s="662"/>
      <c r="AD190" s="662"/>
      <c r="AE190" s="662"/>
      <c r="AF190" s="662"/>
      <c r="AG190" s="662"/>
      <c r="AH190" s="662"/>
      <c r="AI190" s="662"/>
      <c r="AJ190" s="662"/>
      <c r="AK190" s="694"/>
      <c r="AL190" s="676">
        <f>117500+107500</f>
        <v>225000</v>
      </c>
      <c r="AM190" s="808">
        <f t="shared" si="44"/>
        <v>0</v>
      </c>
      <c r="AN190" s="870" t="s">
        <v>407</v>
      </c>
    </row>
    <row r="191" spans="1:40" s="440" customFormat="1" ht="21.75" thickBot="1" x14ac:dyDescent="0.4">
      <c r="A191" s="667" t="s">
        <v>80</v>
      </c>
      <c r="B191" s="705">
        <v>860</v>
      </c>
      <c r="C191" s="706" t="s">
        <v>184</v>
      </c>
      <c r="D191" s="692" t="s">
        <v>183</v>
      </c>
      <c r="E191" s="672"/>
      <c r="F191" s="816">
        <f>W191-AL191</f>
        <v>0</v>
      </c>
      <c r="G191" s="672"/>
      <c r="H191" s="672"/>
      <c r="I191" s="672"/>
      <c r="J191" s="673">
        <f t="shared" si="45"/>
        <v>0</v>
      </c>
      <c r="K191" s="674"/>
      <c r="L191" s="661"/>
      <c r="M191" s="661"/>
      <c r="N191" s="661"/>
      <c r="O191" s="661"/>
      <c r="P191" s="661"/>
      <c r="Q191" s="661"/>
      <c r="R191" s="661"/>
      <c r="S191" s="661"/>
      <c r="T191" s="661"/>
      <c r="U191" s="855"/>
      <c r="V191" s="672"/>
      <c r="W191" s="672">
        <v>59880</v>
      </c>
      <c r="X191" s="672"/>
      <c r="Y191" s="672"/>
      <c r="Z191" s="680"/>
      <c r="AA191" s="673">
        <f>SUM(W191:Z191)</f>
        <v>59880</v>
      </c>
      <c r="AB191" s="674"/>
      <c r="AC191" s="661"/>
      <c r="AD191" s="661"/>
      <c r="AE191" s="661"/>
      <c r="AF191" s="661"/>
      <c r="AG191" s="661"/>
      <c r="AH191" s="661"/>
      <c r="AI191" s="661"/>
      <c r="AJ191" s="661"/>
      <c r="AK191" s="675"/>
      <c r="AL191" s="676">
        <v>59880</v>
      </c>
      <c r="AM191" s="677">
        <f t="shared" si="44"/>
        <v>0</v>
      </c>
      <c r="AN191" s="707" t="s">
        <v>232</v>
      </c>
    </row>
    <row r="192" spans="1:40" s="39" customFormat="1" ht="21.75" thickBot="1" x14ac:dyDescent="0.4">
      <c r="A192" s="667" t="s">
        <v>80</v>
      </c>
      <c r="B192" s="705">
        <v>860</v>
      </c>
      <c r="C192" s="706" t="s">
        <v>184</v>
      </c>
      <c r="D192" s="692" t="s">
        <v>183</v>
      </c>
      <c r="E192" s="672"/>
      <c r="F192" s="816"/>
      <c r="G192" s="672">
        <f>X192-AL192</f>
        <v>0</v>
      </c>
      <c r="H192" s="672"/>
      <c r="I192" s="672"/>
      <c r="J192" s="673">
        <f t="shared" si="45"/>
        <v>0</v>
      </c>
      <c r="K192" s="674"/>
      <c r="L192" s="661"/>
      <c r="M192" s="661"/>
      <c r="N192" s="661"/>
      <c r="O192" s="661"/>
      <c r="P192" s="661"/>
      <c r="Q192" s="661"/>
      <c r="R192" s="661"/>
      <c r="S192" s="661"/>
      <c r="T192" s="661"/>
      <c r="U192" s="855"/>
      <c r="V192" s="672"/>
      <c r="W192" s="672"/>
      <c r="X192" s="672">
        <v>60000</v>
      </c>
      <c r="Y192" s="672"/>
      <c r="Z192" s="680"/>
      <c r="AA192" s="673">
        <f>SUM(W192:Z192)</f>
        <v>60000</v>
      </c>
      <c r="AB192" s="674"/>
      <c r="AC192" s="661"/>
      <c r="AD192" s="661"/>
      <c r="AE192" s="661"/>
      <c r="AF192" s="661"/>
      <c r="AG192" s="661"/>
      <c r="AH192" s="661"/>
      <c r="AI192" s="661"/>
      <c r="AJ192" s="661"/>
      <c r="AK192" s="675"/>
      <c r="AL192" s="676">
        <v>60000</v>
      </c>
      <c r="AM192" s="677">
        <f t="shared" si="44"/>
        <v>0</v>
      </c>
      <c r="AN192" s="708" t="s">
        <v>233</v>
      </c>
    </row>
    <row r="193" spans="1:40" s="39" customFormat="1" ht="21.75" thickBot="1" x14ac:dyDescent="0.4">
      <c r="A193" s="377" t="s">
        <v>80</v>
      </c>
      <c r="B193" s="437">
        <v>3212</v>
      </c>
      <c r="C193" s="439" t="s">
        <v>189</v>
      </c>
      <c r="D193" s="441" t="s">
        <v>188</v>
      </c>
      <c r="E193" s="355"/>
      <c r="F193" s="821">
        <f>W193-AL193</f>
        <v>3000</v>
      </c>
      <c r="G193" s="355"/>
      <c r="H193" s="355"/>
      <c r="I193" s="355"/>
      <c r="J193" s="351">
        <f t="shared" si="45"/>
        <v>3000</v>
      </c>
      <c r="K193" s="367"/>
      <c r="L193" s="352"/>
      <c r="M193" s="352"/>
      <c r="N193" s="352"/>
      <c r="O193" s="352"/>
      <c r="P193" s="352"/>
      <c r="Q193" s="352"/>
      <c r="R193" s="352"/>
      <c r="S193" s="352"/>
      <c r="T193" s="352"/>
      <c r="U193" s="855"/>
      <c r="V193" s="356"/>
      <c r="W193" s="387">
        <v>3000</v>
      </c>
      <c r="X193" s="387"/>
      <c r="Y193" s="387"/>
      <c r="Z193" s="387"/>
      <c r="AA193" s="353">
        <f>SUM(W193:Z193)</f>
        <v>3000</v>
      </c>
      <c r="AB193" s="358"/>
      <c r="AC193" s="354"/>
      <c r="AD193" s="354"/>
      <c r="AE193" s="354"/>
      <c r="AF193" s="354"/>
      <c r="AG193" s="354"/>
      <c r="AH193" s="354"/>
      <c r="AI193" s="354"/>
      <c r="AJ193" s="354"/>
      <c r="AK193" s="470"/>
      <c r="AL193" s="436">
        <v>0</v>
      </c>
      <c r="AM193" s="390">
        <f t="shared" ref="AM193:AM199" si="46">(V193+W193+X193+Y193+Z193+AB193+AC193+AD193+AE193+AF193+AG193+AH193+AI193+AJ193+AK193)-AL193</f>
        <v>3000</v>
      </c>
      <c r="AN193" s="465" t="s">
        <v>203</v>
      </c>
    </row>
    <row r="194" spans="1:40" s="39" customFormat="1" ht="21.75" thickBot="1" x14ac:dyDescent="0.4">
      <c r="A194" s="868" t="s">
        <v>80</v>
      </c>
      <c r="B194" s="892">
        <v>3241</v>
      </c>
      <c r="C194" s="893" t="s">
        <v>194</v>
      </c>
      <c r="D194" s="882" t="s">
        <v>188</v>
      </c>
      <c r="E194" s="672"/>
      <c r="F194" s="816"/>
      <c r="G194" s="672"/>
      <c r="H194" s="672"/>
      <c r="I194" s="672"/>
      <c r="J194" s="673"/>
      <c r="K194" s="674">
        <f>AB194-AL194</f>
        <v>0</v>
      </c>
      <c r="L194" s="662"/>
      <c r="M194" s="662"/>
      <c r="N194" s="662"/>
      <c r="O194" s="662"/>
      <c r="P194" s="662"/>
      <c r="Q194" s="662"/>
      <c r="R194" s="662"/>
      <c r="S194" s="662"/>
      <c r="T194" s="662"/>
      <c r="U194" s="855"/>
      <c r="V194" s="672"/>
      <c r="W194" s="672"/>
      <c r="X194" s="672"/>
      <c r="Y194" s="672"/>
      <c r="Z194" s="693"/>
      <c r="AA194" s="673"/>
      <c r="AB194" s="674">
        <v>500000</v>
      </c>
      <c r="AC194" s="662"/>
      <c r="AD194" s="662"/>
      <c r="AE194" s="662"/>
      <c r="AF194" s="662"/>
      <c r="AG194" s="662"/>
      <c r="AH194" s="662"/>
      <c r="AI194" s="662"/>
      <c r="AJ194" s="662"/>
      <c r="AK194" s="694"/>
      <c r="AL194" s="676">
        <v>500000</v>
      </c>
      <c r="AM194" s="808">
        <f t="shared" si="46"/>
        <v>0</v>
      </c>
      <c r="AN194" s="870" t="s">
        <v>314</v>
      </c>
    </row>
    <row r="195" spans="1:40" s="39" customFormat="1" ht="21.75" thickBot="1" x14ac:dyDescent="0.4">
      <c r="A195" s="863" t="s">
        <v>80</v>
      </c>
      <c r="B195" s="705">
        <v>3241</v>
      </c>
      <c r="C195" s="706" t="s">
        <v>194</v>
      </c>
      <c r="D195" s="692" t="s">
        <v>188</v>
      </c>
      <c r="E195" s="672"/>
      <c r="F195" s="816">
        <f>W195-AL195</f>
        <v>0</v>
      </c>
      <c r="G195" s="672"/>
      <c r="H195" s="672"/>
      <c r="I195" s="672"/>
      <c r="J195" s="673">
        <f t="shared" ref="J195:J207" si="47">SUM(F195:I195)</f>
        <v>0</v>
      </c>
      <c r="K195" s="678"/>
      <c r="L195" s="661"/>
      <c r="M195" s="661"/>
      <c r="N195" s="661"/>
      <c r="O195" s="661"/>
      <c r="P195" s="661"/>
      <c r="Q195" s="661"/>
      <c r="R195" s="661"/>
      <c r="S195" s="661"/>
      <c r="T195" s="661"/>
      <c r="U195" s="855"/>
      <c r="V195" s="672"/>
      <c r="W195" s="672">
        <v>48000</v>
      </c>
      <c r="X195" s="672"/>
      <c r="Y195" s="672"/>
      <c r="Z195" s="680"/>
      <c r="AA195" s="673">
        <f t="shared" ref="AA195:AA200" si="48">SUM(W195:Z195)</f>
        <v>48000</v>
      </c>
      <c r="AB195" s="674"/>
      <c r="AC195" s="661"/>
      <c r="AD195" s="661"/>
      <c r="AE195" s="661"/>
      <c r="AF195" s="661"/>
      <c r="AG195" s="661"/>
      <c r="AH195" s="661"/>
      <c r="AI195" s="661"/>
      <c r="AJ195" s="661"/>
      <c r="AK195" s="675"/>
      <c r="AL195" s="676">
        <v>48000</v>
      </c>
      <c r="AM195" s="677">
        <f>(V195+W195+X195+Y195+Z195+AB195+AC195+AD195+AE195+AF195+AG195+AH195+AI195+AJ195+AK195)-AL195</f>
        <v>0</v>
      </c>
      <c r="AN195" s="870" t="s">
        <v>346</v>
      </c>
    </row>
    <row r="196" spans="1:40" s="39" customFormat="1" ht="21.75" thickBot="1" x14ac:dyDescent="0.4">
      <c r="A196" s="868" t="s">
        <v>80</v>
      </c>
      <c r="B196" s="892">
        <v>3241</v>
      </c>
      <c r="C196" s="893" t="s">
        <v>194</v>
      </c>
      <c r="D196" s="882" t="s">
        <v>188</v>
      </c>
      <c r="E196" s="672"/>
      <c r="F196" s="816"/>
      <c r="G196" s="672">
        <f>X196-AL196</f>
        <v>0</v>
      </c>
      <c r="H196" s="672"/>
      <c r="I196" s="672"/>
      <c r="J196" s="673">
        <f t="shared" si="47"/>
        <v>0</v>
      </c>
      <c r="K196" s="674"/>
      <c r="L196" s="662"/>
      <c r="M196" s="662"/>
      <c r="N196" s="662"/>
      <c r="O196" s="662"/>
      <c r="P196" s="662"/>
      <c r="Q196" s="662"/>
      <c r="R196" s="662"/>
      <c r="S196" s="662"/>
      <c r="T196" s="662"/>
      <c r="U196" s="855"/>
      <c r="V196" s="672"/>
      <c r="W196" s="672"/>
      <c r="X196" s="672">
        <v>36000</v>
      </c>
      <c r="Y196" s="672"/>
      <c r="Z196" s="680"/>
      <c r="AA196" s="673">
        <f t="shared" si="48"/>
        <v>36000</v>
      </c>
      <c r="AB196" s="674"/>
      <c r="AC196" s="662"/>
      <c r="AD196" s="662"/>
      <c r="AE196" s="662"/>
      <c r="AF196" s="662"/>
      <c r="AG196" s="662"/>
      <c r="AH196" s="662"/>
      <c r="AI196" s="662"/>
      <c r="AJ196" s="662"/>
      <c r="AK196" s="694"/>
      <c r="AL196" s="676">
        <f>17280+18720</f>
        <v>36000</v>
      </c>
      <c r="AM196" s="808">
        <f>(V196+W196+X196+Y196+Z196+AB196+AC196+AD196+AE196+AF196+AG196+AH196+AI196+AJ196+AK196)-AL196</f>
        <v>0</v>
      </c>
      <c r="AN196" s="870" t="s">
        <v>367</v>
      </c>
    </row>
    <row r="197" spans="1:40" s="39" customFormat="1" ht="21.75" thickBot="1" x14ac:dyDescent="0.4">
      <c r="A197" s="868" t="s">
        <v>80</v>
      </c>
      <c r="B197" s="892">
        <v>3241</v>
      </c>
      <c r="C197" s="893" t="s">
        <v>194</v>
      </c>
      <c r="D197" s="882" t="s">
        <v>188</v>
      </c>
      <c r="E197" s="672"/>
      <c r="F197" s="816"/>
      <c r="G197" s="672"/>
      <c r="H197" s="672">
        <f>Y197-AL197</f>
        <v>0</v>
      </c>
      <c r="I197" s="672"/>
      <c r="J197" s="673">
        <f t="shared" si="47"/>
        <v>0</v>
      </c>
      <c r="K197" s="674"/>
      <c r="L197" s="662"/>
      <c r="M197" s="662"/>
      <c r="N197" s="662"/>
      <c r="O197" s="662"/>
      <c r="P197" s="662"/>
      <c r="Q197" s="662"/>
      <c r="R197" s="662"/>
      <c r="S197" s="662"/>
      <c r="T197" s="662"/>
      <c r="U197" s="855"/>
      <c r="V197" s="672"/>
      <c r="W197" s="693"/>
      <c r="X197" s="693"/>
      <c r="Y197" s="693">
        <v>36000</v>
      </c>
      <c r="Z197" s="693"/>
      <c r="AA197" s="673">
        <f t="shared" si="48"/>
        <v>36000</v>
      </c>
      <c r="AB197" s="674"/>
      <c r="AC197" s="662"/>
      <c r="AD197" s="662"/>
      <c r="AE197" s="662"/>
      <c r="AF197" s="662"/>
      <c r="AG197" s="662"/>
      <c r="AH197" s="662"/>
      <c r="AI197" s="662"/>
      <c r="AJ197" s="662"/>
      <c r="AK197" s="694"/>
      <c r="AL197" s="676">
        <f>33840+2160</f>
        <v>36000</v>
      </c>
      <c r="AM197" s="808">
        <f>(V197+W197+X197+Y197+Z197+AB197+AC197+AD197+AE197+AF197+AG197+AH197+AI197+AJ197+AK197)-AL197</f>
        <v>0</v>
      </c>
      <c r="AN197" s="870" t="s">
        <v>368</v>
      </c>
    </row>
    <row r="198" spans="1:40" s="39" customFormat="1" ht="21.75" thickBot="1" x14ac:dyDescent="0.4">
      <c r="A198" s="868" t="s">
        <v>80</v>
      </c>
      <c r="B198" s="892">
        <v>3241</v>
      </c>
      <c r="C198" s="893" t="s">
        <v>194</v>
      </c>
      <c r="D198" s="882" t="s">
        <v>188</v>
      </c>
      <c r="E198" s="672"/>
      <c r="F198" s="816"/>
      <c r="G198" s="672"/>
      <c r="H198" s="672"/>
      <c r="I198" s="672">
        <f>Z198-AL198</f>
        <v>0</v>
      </c>
      <c r="J198" s="673">
        <f t="shared" si="47"/>
        <v>0</v>
      </c>
      <c r="K198" s="674"/>
      <c r="L198" s="662"/>
      <c r="M198" s="662"/>
      <c r="N198" s="662"/>
      <c r="O198" s="662"/>
      <c r="P198" s="662"/>
      <c r="Q198" s="662"/>
      <c r="R198" s="662"/>
      <c r="S198" s="662"/>
      <c r="T198" s="662"/>
      <c r="U198" s="855"/>
      <c r="V198" s="672"/>
      <c r="W198" s="693"/>
      <c r="X198" s="693"/>
      <c r="Y198" s="693"/>
      <c r="Z198" s="693">
        <v>22500</v>
      </c>
      <c r="AA198" s="673">
        <f t="shared" si="48"/>
        <v>22500</v>
      </c>
      <c r="AB198" s="674"/>
      <c r="AC198" s="662"/>
      <c r="AD198" s="662"/>
      <c r="AE198" s="662"/>
      <c r="AF198" s="662"/>
      <c r="AG198" s="662"/>
      <c r="AH198" s="662"/>
      <c r="AI198" s="662"/>
      <c r="AJ198" s="662"/>
      <c r="AK198" s="694"/>
      <c r="AL198" s="676">
        <f>18720+3780</f>
        <v>22500</v>
      </c>
      <c r="AM198" s="808">
        <f t="shared" si="46"/>
        <v>0</v>
      </c>
      <c r="AN198" s="870" t="s">
        <v>369</v>
      </c>
    </row>
    <row r="199" spans="1:40" s="39" customFormat="1" ht="21.75" thickBot="1" x14ac:dyDescent="0.4">
      <c r="A199" s="730" t="s">
        <v>80</v>
      </c>
      <c r="B199" s="731">
        <v>3242</v>
      </c>
      <c r="C199" s="732" t="s">
        <v>194</v>
      </c>
      <c r="D199" s="733" t="s">
        <v>188</v>
      </c>
      <c r="E199" s="347"/>
      <c r="F199" s="822">
        <f t="shared" ref="F199:F206" si="49">W199-AK199</f>
        <v>0</v>
      </c>
      <c r="G199" s="347"/>
      <c r="H199" s="347"/>
      <c r="I199" s="347"/>
      <c r="J199" s="736">
        <f>AA199-AO409</f>
        <v>0</v>
      </c>
      <c r="K199" s="742"/>
      <c r="L199" s="405"/>
      <c r="M199" s="734">
        <f>AD199-AL199</f>
        <v>0</v>
      </c>
      <c r="N199" s="405"/>
      <c r="O199" s="734"/>
      <c r="P199" s="405"/>
      <c r="Q199" s="405"/>
      <c r="R199" s="405"/>
      <c r="S199" s="405"/>
      <c r="T199" s="405"/>
      <c r="U199" s="855"/>
      <c r="V199" s="347"/>
      <c r="W199" s="347"/>
      <c r="X199" s="347"/>
      <c r="Y199" s="347"/>
      <c r="Z199" s="735"/>
      <c r="AA199" s="736">
        <f t="shared" si="48"/>
        <v>0</v>
      </c>
      <c r="AB199" s="348"/>
      <c r="AC199" s="405"/>
      <c r="AD199" s="405">
        <v>10000</v>
      </c>
      <c r="AE199" s="405"/>
      <c r="AF199" s="405"/>
      <c r="AG199" s="405"/>
      <c r="AH199" s="405"/>
      <c r="AI199" s="405"/>
      <c r="AJ199" s="405"/>
      <c r="AK199" s="737"/>
      <c r="AL199" s="738">
        <f>3885+6115</f>
        <v>10000</v>
      </c>
      <c r="AM199" s="739">
        <f t="shared" si="46"/>
        <v>0</v>
      </c>
      <c r="AN199" s="357" t="s">
        <v>259</v>
      </c>
    </row>
    <row r="200" spans="1:40" s="39" customFormat="1" ht="21.75" thickBot="1" x14ac:dyDescent="0.4">
      <c r="A200" s="359" t="s">
        <v>80</v>
      </c>
      <c r="B200" s="360">
        <v>3187</v>
      </c>
      <c r="C200" s="425" t="s">
        <v>192</v>
      </c>
      <c r="D200" s="663" t="s">
        <v>195</v>
      </c>
      <c r="E200" s="361">
        <f>V200-AL200</f>
        <v>0</v>
      </c>
      <c r="F200" s="818">
        <f t="shared" si="49"/>
        <v>0</v>
      </c>
      <c r="G200" s="362"/>
      <c r="H200" s="362"/>
      <c r="I200" s="362"/>
      <c r="J200" s="363">
        <f t="shared" si="47"/>
        <v>0</v>
      </c>
      <c r="K200" s="806"/>
      <c r="L200" s="365"/>
      <c r="M200" s="365"/>
      <c r="N200" s="365"/>
      <c r="O200" s="365"/>
      <c r="P200" s="365"/>
      <c r="Q200" s="365"/>
      <c r="R200" s="365"/>
      <c r="S200" s="365"/>
      <c r="T200" s="365"/>
      <c r="U200" s="855"/>
      <c r="V200" s="362">
        <v>280000</v>
      </c>
      <c r="W200" s="362"/>
      <c r="X200" s="362"/>
      <c r="Y200" s="362"/>
      <c r="Z200" s="362"/>
      <c r="AA200" s="363">
        <f t="shared" si="48"/>
        <v>0</v>
      </c>
      <c r="AB200" s="364"/>
      <c r="AC200" s="365"/>
      <c r="AD200" s="365"/>
      <c r="AE200" s="365"/>
      <c r="AF200" s="365"/>
      <c r="AG200" s="365"/>
      <c r="AH200" s="365"/>
      <c r="AI200" s="365"/>
      <c r="AJ200" s="365"/>
      <c r="AK200" s="365"/>
      <c r="AL200" s="366">
        <v>280000</v>
      </c>
      <c r="AM200" s="666">
        <f>(V200+W200+X200+Y200+Z200+AB200+AC200+AD200+AE200+AF200+AG200+AH200+AI200+AJ200+AK200)-AL200</f>
        <v>0</v>
      </c>
      <c r="AN200" s="368" t="s">
        <v>231</v>
      </c>
    </row>
    <row r="201" spans="1:40" s="39" customFormat="1" ht="21.75" thickBot="1" x14ac:dyDescent="0.4">
      <c r="A201" s="730" t="s">
        <v>80</v>
      </c>
      <c r="B201" s="740">
        <v>3250</v>
      </c>
      <c r="C201" s="741" t="s">
        <v>206</v>
      </c>
      <c r="D201" s="529" t="s">
        <v>207</v>
      </c>
      <c r="E201" s="346">
        <v>0</v>
      </c>
      <c r="F201" s="822">
        <f t="shared" si="49"/>
        <v>0</v>
      </c>
      <c r="G201" s="347"/>
      <c r="H201" s="347"/>
      <c r="I201" s="347"/>
      <c r="J201" s="736">
        <f t="shared" si="47"/>
        <v>0</v>
      </c>
      <c r="K201" s="742">
        <f t="shared" ref="K201:K208" si="50">AB201-AL201</f>
        <v>0</v>
      </c>
      <c r="L201" s="734"/>
      <c r="M201" s="734"/>
      <c r="N201" s="734"/>
      <c r="O201" s="734"/>
      <c r="P201" s="734"/>
      <c r="Q201" s="734"/>
      <c r="R201" s="734"/>
      <c r="S201" s="734"/>
      <c r="T201" s="734"/>
      <c r="U201" s="855"/>
      <c r="V201" s="347"/>
      <c r="W201" s="347"/>
      <c r="X201" s="347"/>
      <c r="Y201" s="347"/>
      <c r="Z201" s="347"/>
      <c r="AA201" s="736"/>
      <c r="AB201" s="748">
        <v>70000</v>
      </c>
      <c r="AC201" s="734"/>
      <c r="AD201" s="734"/>
      <c r="AE201" s="734"/>
      <c r="AF201" s="734"/>
      <c r="AG201" s="734"/>
      <c r="AH201" s="734"/>
      <c r="AI201" s="734"/>
      <c r="AJ201" s="734"/>
      <c r="AK201" s="743"/>
      <c r="AL201" s="738">
        <v>70000</v>
      </c>
      <c r="AM201" s="633">
        <f t="shared" ref="AM201:AM206" si="51">(V201+W201+X201+Y201+Z201+AB201+AC201+AD201+AE201+AF201+AG201+AH201+AI201+AJ201+AK201)-AL201</f>
        <v>0</v>
      </c>
      <c r="AN201" s="744" t="s">
        <v>263</v>
      </c>
    </row>
    <row r="202" spans="1:40" s="39" customFormat="1" ht="21.75" thickBot="1" x14ac:dyDescent="0.4">
      <c r="A202" s="730" t="s">
        <v>80</v>
      </c>
      <c r="B202" s="740">
        <v>3253</v>
      </c>
      <c r="C202" s="741" t="s">
        <v>206</v>
      </c>
      <c r="D202" s="529" t="s">
        <v>204</v>
      </c>
      <c r="E202" s="346"/>
      <c r="F202" s="822">
        <f t="shared" si="49"/>
        <v>0</v>
      </c>
      <c r="G202" s="347"/>
      <c r="H202" s="347"/>
      <c r="I202" s="347"/>
      <c r="J202" s="736">
        <f t="shared" si="47"/>
        <v>0</v>
      </c>
      <c r="K202" s="742">
        <f t="shared" si="50"/>
        <v>0</v>
      </c>
      <c r="L202" s="734"/>
      <c r="M202" s="734"/>
      <c r="N202" s="734"/>
      <c r="O202" s="734"/>
      <c r="P202" s="734"/>
      <c r="Q202" s="734"/>
      <c r="R202" s="734"/>
      <c r="S202" s="734"/>
      <c r="T202" s="734"/>
      <c r="U202" s="855"/>
      <c r="V202" s="347"/>
      <c r="W202" s="347"/>
      <c r="X202" s="347"/>
      <c r="Y202" s="347"/>
      <c r="Z202" s="347"/>
      <c r="AA202" s="736"/>
      <c r="AB202" s="748">
        <v>150000</v>
      </c>
      <c r="AC202" s="734"/>
      <c r="AD202" s="734"/>
      <c r="AE202" s="734"/>
      <c r="AF202" s="734"/>
      <c r="AG202" s="734"/>
      <c r="AH202" s="734"/>
      <c r="AI202" s="734"/>
      <c r="AJ202" s="734"/>
      <c r="AK202" s="743"/>
      <c r="AL202" s="738">
        <v>150000</v>
      </c>
      <c r="AM202" s="739">
        <f t="shared" si="51"/>
        <v>0</v>
      </c>
      <c r="AN202" s="744" t="s">
        <v>264</v>
      </c>
    </row>
    <row r="203" spans="1:40" s="39" customFormat="1" ht="21.75" thickBot="1" x14ac:dyDescent="0.4">
      <c r="A203" s="404" t="s">
        <v>80</v>
      </c>
      <c r="B203" s="740">
        <v>3253</v>
      </c>
      <c r="C203" s="741" t="s">
        <v>206</v>
      </c>
      <c r="D203" s="529" t="s">
        <v>204</v>
      </c>
      <c r="E203" s="745"/>
      <c r="F203" s="824">
        <f t="shared" si="49"/>
        <v>0</v>
      </c>
      <c r="G203" s="736"/>
      <c r="H203" s="736"/>
      <c r="I203" s="736"/>
      <c r="J203" s="736">
        <f t="shared" si="47"/>
        <v>0</v>
      </c>
      <c r="K203" s="742">
        <v>0</v>
      </c>
      <c r="L203" s="746"/>
      <c r="M203" s="746"/>
      <c r="N203" s="746"/>
      <c r="O203" s="746"/>
      <c r="P203" s="746"/>
      <c r="Q203" s="746">
        <f>AH203-AL203</f>
        <v>0</v>
      </c>
      <c r="R203" s="746"/>
      <c r="S203" s="746"/>
      <c r="T203" s="746"/>
      <c r="U203" s="855"/>
      <c r="V203" s="736"/>
      <c r="W203" s="736"/>
      <c r="X203" s="736"/>
      <c r="Y203" s="736"/>
      <c r="Z203" s="736"/>
      <c r="AA203" s="736"/>
      <c r="AB203" s="747"/>
      <c r="AC203" s="746"/>
      <c r="AD203" s="746"/>
      <c r="AE203" s="746"/>
      <c r="AF203" s="746"/>
      <c r="AG203" s="746"/>
      <c r="AH203" s="405">
        <v>150000</v>
      </c>
      <c r="AI203" s="405"/>
      <c r="AJ203" s="405"/>
      <c r="AK203" s="737"/>
      <c r="AL203" s="738">
        <f>71900+78100</f>
        <v>150000</v>
      </c>
      <c r="AM203" s="633">
        <f t="shared" si="51"/>
        <v>0</v>
      </c>
      <c r="AN203" s="744" t="s">
        <v>262</v>
      </c>
    </row>
    <row r="204" spans="1:40" s="39" customFormat="1" ht="21.75" thickBot="1" x14ac:dyDescent="0.4">
      <c r="A204" s="359" t="s">
        <v>80</v>
      </c>
      <c r="B204" s="360">
        <v>3254</v>
      </c>
      <c r="C204" s="425" t="s">
        <v>205</v>
      </c>
      <c r="D204" s="663" t="s">
        <v>204</v>
      </c>
      <c r="E204" s="361">
        <f>V204-AL204</f>
        <v>0</v>
      </c>
      <c r="F204" s="818">
        <f t="shared" si="49"/>
        <v>0</v>
      </c>
      <c r="G204" s="362"/>
      <c r="H204" s="362"/>
      <c r="I204" s="362"/>
      <c r="J204" s="363">
        <f t="shared" si="47"/>
        <v>0</v>
      </c>
      <c r="K204" s="806"/>
      <c r="L204" s="365"/>
      <c r="M204" s="365"/>
      <c r="N204" s="365"/>
      <c r="O204" s="365"/>
      <c r="P204" s="365"/>
      <c r="Q204" s="365"/>
      <c r="R204" s="365"/>
      <c r="S204" s="365"/>
      <c r="T204" s="365"/>
      <c r="U204" s="855"/>
      <c r="V204" s="362">
        <v>250000</v>
      </c>
      <c r="W204" s="362"/>
      <c r="X204" s="362"/>
      <c r="Y204" s="362"/>
      <c r="Z204" s="362"/>
      <c r="AA204" s="363"/>
      <c r="AB204" s="364"/>
      <c r="AC204" s="365"/>
      <c r="AD204" s="365"/>
      <c r="AE204" s="365"/>
      <c r="AF204" s="365"/>
      <c r="AG204" s="365"/>
      <c r="AH204" s="365"/>
      <c r="AI204" s="365"/>
      <c r="AJ204" s="365"/>
      <c r="AK204" s="664"/>
      <c r="AL204" s="665">
        <v>250000</v>
      </c>
      <c r="AM204" s="666">
        <f t="shared" si="51"/>
        <v>0</v>
      </c>
      <c r="AN204" s="712" t="s">
        <v>240</v>
      </c>
    </row>
    <row r="205" spans="1:40" s="39" customFormat="1" ht="21.75" thickBot="1" x14ac:dyDescent="0.4">
      <c r="A205" s="857" t="s">
        <v>80</v>
      </c>
      <c r="B205" s="876">
        <v>3255</v>
      </c>
      <c r="C205" s="877" t="s">
        <v>205</v>
      </c>
      <c r="D205" s="862" t="s">
        <v>204</v>
      </c>
      <c r="E205" s="346"/>
      <c r="F205" s="822">
        <f t="shared" si="49"/>
        <v>0</v>
      </c>
      <c r="G205" s="347"/>
      <c r="H205" s="347"/>
      <c r="I205" s="347"/>
      <c r="J205" s="736">
        <f t="shared" si="47"/>
        <v>0</v>
      </c>
      <c r="K205" s="348">
        <f t="shared" si="50"/>
        <v>0</v>
      </c>
      <c r="L205" s="405"/>
      <c r="M205" s="405"/>
      <c r="N205" s="405"/>
      <c r="O205" s="405"/>
      <c r="P205" s="405"/>
      <c r="Q205" s="405"/>
      <c r="R205" s="405"/>
      <c r="S205" s="405"/>
      <c r="T205" s="405"/>
      <c r="U205" s="855"/>
      <c r="V205" s="347"/>
      <c r="W205" s="347"/>
      <c r="X205" s="347"/>
      <c r="Y205" s="347"/>
      <c r="Z205" s="347"/>
      <c r="AA205" s="736"/>
      <c r="AB205" s="348">
        <v>435800</v>
      </c>
      <c r="AC205" s="405"/>
      <c r="AD205" s="405"/>
      <c r="AE205" s="405"/>
      <c r="AF205" s="405"/>
      <c r="AG205" s="405"/>
      <c r="AH205" s="405"/>
      <c r="AI205" s="405"/>
      <c r="AJ205" s="405"/>
      <c r="AK205" s="737"/>
      <c r="AL205" s="738">
        <v>435800</v>
      </c>
      <c r="AM205" s="894">
        <f t="shared" si="51"/>
        <v>0</v>
      </c>
      <c r="AN205" s="878" t="s">
        <v>315</v>
      </c>
    </row>
    <row r="206" spans="1:40" s="39" customFormat="1" ht="21.75" thickBot="1" x14ac:dyDescent="0.4">
      <c r="A206" s="857" t="s">
        <v>80</v>
      </c>
      <c r="B206" s="876">
        <v>3256</v>
      </c>
      <c r="C206" s="877" t="s">
        <v>209</v>
      </c>
      <c r="D206" s="895" t="s">
        <v>208</v>
      </c>
      <c r="E206" s="347"/>
      <c r="F206" s="822">
        <f t="shared" si="49"/>
        <v>0</v>
      </c>
      <c r="G206" s="347"/>
      <c r="H206" s="347">
        <v>0</v>
      </c>
      <c r="I206" s="347">
        <v>0</v>
      </c>
      <c r="J206" s="736">
        <f t="shared" si="47"/>
        <v>0</v>
      </c>
      <c r="K206" s="348">
        <v>0</v>
      </c>
      <c r="L206" s="405">
        <f>AC206-AL206</f>
        <v>0</v>
      </c>
      <c r="M206" s="405"/>
      <c r="N206" s="405"/>
      <c r="O206" s="405"/>
      <c r="P206" s="405"/>
      <c r="Q206" s="405"/>
      <c r="R206" s="405"/>
      <c r="S206" s="405"/>
      <c r="T206" s="405"/>
      <c r="U206" s="855"/>
      <c r="V206" s="347"/>
      <c r="W206" s="347"/>
      <c r="X206" s="347"/>
      <c r="Y206" s="347"/>
      <c r="Z206" s="347"/>
      <c r="AA206" s="736"/>
      <c r="AB206" s="348"/>
      <c r="AC206" s="405">
        <v>450000</v>
      </c>
      <c r="AD206" s="405"/>
      <c r="AE206" s="405"/>
      <c r="AF206" s="405"/>
      <c r="AG206" s="405"/>
      <c r="AH206" s="405"/>
      <c r="AI206" s="405"/>
      <c r="AJ206" s="405"/>
      <c r="AK206" s="737"/>
      <c r="AL206" s="738">
        <v>450000</v>
      </c>
      <c r="AM206" s="894">
        <f t="shared" si="51"/>
        <v>0</v>
      </c>
      <c r="AN206" s="878" t="s">
        <v>316</v>
      </c>
    </row>
    <row r="207" spans="1:40" s="39" customFormat="1" ht="21.75" thickBot="1" x14ac:dyDescent="0.4">
      <c r="A207" s="857" t="s">
        <v>80</v>
      </c>
      <c r="B207" s="876">
        <v>3268</v>
      </c>
      <c r="C207" s="877" t="s">
        <v>218</v>
      </c>
      <c r="D207" s="858" t="s">
        <v>208</v>
      </c>
      <c r="E207" s="347">
        <f>V207-AL207</f>
        <v>0</v>
      </c>
      <c r="F207" s="822">
        <f>W207-AK207</f>
        <v>0</v>
      </c>
      <c r="G207" s="347"/>
      <c r="H207" s="347"/>
      <c r="I207" s="347"/>
      <c r="J207" s="736">
        <f t="shared" si="47"/>
        <v>0</v>
      </c>
      <c r="K207" s="348"/>
      <c r="L207" s="405"/>
      <c r="M207" s="405"/>
      <c r="N207" s="405"/>
      <c r="O207" s="405"/>
      <c r="P207" s="405"/>
      <c r="Q207" s="405"/>
      <c r="R207" s="405"/>
      <c r="S207" s="405"/>
      <c r="T207" s="405"/>
      <c r="U207" s="855"/>
      <c r="V207" s="347">
        <v>200000</v>
      </c>
      <c r="W207" s="347"/>
      <c r="X207" s="347"/>
      <c r="Y207" s="347"/>
      <c r="Z207" s="347"/>
      <c r="AA207" s="736"/>
      <c r="AB207" s="348"/>
      <c r="AC207" s="405"/>
      <c r="AD207" s="405"/>
      <c r="AE207" s="405"/>
      <c r="AF207" s="405"/>
      <c r="AG207" s="405"/>
      <c r="AH207" s="405"/>
      <c r="AI207" s="405"/>
      <c r="AJ207" s="405"/>
      <c r="AK207" s="737"/>
      <c r="AL207" s="738">
        <f>63225+136775</f>
        <v>200000</v>
      </c>
      <c r="AM207" s="894">
        <f>(V207+W207+X207+Y207+Z207+AB207+AC207+AD207+AE207+AF207+AG207+AH207+AI207+AJ207+AK207)-AL207</f>
        <v>0</v>
      </c>
      <c r="AN207" s="878" t="s">
        <v>318</v>
      </c>
    </row>
    <row r="208" spans="1:40" s="39" customFormat="1" ht="21.75" thickBot="1" x14ac:dyDescent="0.4">
      <c r="A208" s="868" t="s">
        <v>80</v>
      </c>
      <c r="B208" s="864">
        <v>3271</v>
      </c>
      <c r="C208" s="865">
        <v>45279</v>
      </c>
      <c r="D208" s="867">
        <v>45381</v>
      </c>
      <c r="E208" s="672">
        <v>0</v>
      </c>
      <c r="F208" s="816">
        <v>0</v>
      </c>
      <c r="G208" s="672"/>
      <c r="H208" s="672">
        <v>0</v>
      </c>
      <c r="I208" s="672">
        <v>0</v>
      </c>
      <c r="J208" s="673">
        <v>0</v>
      </c>
      <c r="K208" s="674">
        <f t="shared" si="50"/>
        <v>0</v>
      </c>
      <c r="L208" s="662"/>
      <c r="M208" s="662"/>
      <c r="N208" s="662"/>
      <c r="O208" s="662"/>
      <c r="P208" s="662"/>
      <c r="Q208" s="662"/>
      <c r="R208" s="662"/>
      <c r="S208" s="662"/>
      <c r="T208" s="662"/>
      <c r="U208" s="855"/>
      <c r="V208" s="672"/>
      <c r="W208" s="672"/>
      <c r="X208" s="672"/>
      <c r="Y208" s="672"/>
      <c r="Z208" s="672"/>
      <c r="AA208" s="673"/>
      <c r="AB208" s="674">
        <v>1500000</v>
      </c>
      <c r="AC208" s="662"/>
      <c r="AD208" s="662"/>
      <c r="AE208" s="662"/>
      <c r="AF208" s="662"/>
      <c r="AG208" s="662"/>
      <c r="AH208" s="662"/>
      <c r="AI208" s="662"/>
      <c r="AJ208" s="662"/>
      <c r="AK208" s="694"/>
      <c r="AL208" s="676">
        <v>1500000</v>
      </c>
      <c r="AM208" s="808">
        <f>(V208+W208+X208+Y208+Z208+AB208+AC208+AD208+AE208+AF208+AG208+AH208+AI208+AJ208+AK208)-AL208</f>
        <v>0</v>
      </c>
      <c r="AN208" s="843" t="s">
        <v>371</v>
      </c>
    </row>
    <row r="209" spans="1:40" s="39" customFormat="1" ht="21.75" thickBot="1" x14ac:dyDescent="0.4">
      <c r="A209" s="730" t="s">
        <v>80</v>
      </c>
      <c r="B209" s="740">
        <v>3272</v>
      </c>
      <c r="C209" s="741">
        <v>45309</v>
      </c>
      <c r="D209" s="422">
        <v>45342</v>
      </c>
      <c r="E209" s="347"/>
      <c r="F209" s="822">
        <v>0</v>
      </c>
      <c r="G209" s="347">
        <v>0</v>
      </c>
      <c r="H209" s="347">
        <v>0</v>
      </c>
      <c r="I209" s="347">
        <v>0</v>
      </c>
      <c r="J209" s="736">
        <v>0</v>
      </c>
      <c r="K209" s="742">
        <v>0</v>
      </c>
      <c r="L209" s="734"/>
      <c r="M209" s="734">
        <v>0</v>
      </c>
      <c r="N209" s="405">
        <f>AE209-AL209</f>
        <v>0</v>
      </c>
      <c r="O209" s="734"/>
      <c r="P209" s="734"/>
      <c r="Q209" s="734"/>
      <c r="R209" s="734"/>
      <c r="S209" s="734"/>
      <c r="T209" s="734"/>
      <c r="U209" s="855"/>
      <c r="V209" s="347"/>
      <c r="W209" s="347"/>
      <c r="X209" s="347"/>
      <c r="Y209" s="347"/>
      <c r="Z209" s="347"/>
      <c r="AA209" s="736"/>
      <c r="AB209" s="348"/>
      <c r="AC209" s="734"/>
      <c r="AD209" s="734"/>
      <c r="AE209" s="734">
        <v>75468</v>
      </c>
      <c r="AF209" s="734"/>
      <c r="AG209" s="734"/>
      <c r="AH209" s="734"/>
      <c r="AI209" s="734"/>
      <c r="AJ209" s="734"/>
      <c r="AK209" s="743"/>
      <c r="AL209" s="738">
        <f>7200+68268</f>
        <v>75468</v>
      </c>
      <c r="AM209" s="739">
        <f>(V209+W209+X209+Y209+Z209+AB209+AC209+AD209+AE209+AF209+AG209+AH209+AI209+AJ209+AK209)-AL209</f>
        <v>0</v>
      </c>
      <c r="AN209" s="744" t="s">
        <v>261</v>
      </c>
    </row>
    <row r="210" spans="1:40" s="39" customFormat="1" ht="21.75" thickBot="1" x14ac:dyDescent="0.4">
      <c r="A210" s="730" t="s">
        <v>80</v>
      </c>
      <c r="B210" s="740">
        <v>3273</v>
      </c>
      <c r="C210" s="741">
        <v>45309</v>
      </c>
      <c r="D210" s="422">
        <v>45342</v>
      </c>
      <c r="E210" s="347"/>
      <c r="F210" s="822"/>
      <c r="G210" s="347"/>
      <c r="H210" s="347"/>
      <c r="I210" s="347"/>
      <c r="J210" s="736"/>
      <c r="K210" s="742"/>
      <c r="L210" s="734"/>
      <c r="M210" s="734">
        <f>AD210-AL210</f>
        <v>0</v>
      </c>
      <c r="N210" s="734"/>
      <c r="O210" s="734"/>
      <c r="P210" s="734"/>
      <c r="Q210" s="734"/>
      <c r="R210" s="734"/>
      <c r="S210" s="734"/>
      <c r="T210" s="734"/>
      <c r="U210" s="855"/>
      <c r="V210" s="347"/>
      <c r="W210" s="347"/>
      <c r="X210" s="347"/>
      <c r="Y210" s="347"/>
      <c r="Z210" s="347"/>
      <c r="AA210" s="736"/>
      <c r="AB210" s="348"/>
      <c r="AC210" s="734"/>
      <c r="AD210" s="734">
        <v>80000</v>
      </c>
      <c r="AE210" s="734"/>
      <c r="AF210" s="734"/>
      <c r="AG210" s="734"/>
      <c r="AH210" s="734"/>
      <c r="AI210" s="734"/>
      <c r="AJ210" s="734"/>
      <c r="AK210" s="743"/>
      <c r="AL210" s="738">
        <f>9000+71000</f>
        <v>80000</v>
      </c>
      <c r="AM210" s="739">
        <f>(V210+W210+X210+Y210+Z210+AB210+AC210+AD210+AE210+AF210+AG210+AH210+AI210+AJ210+AK210)-AL210</f>
        <v>0</v>
      </c>
      <c r="AN210" s="744" t="s">
        <v>260</v>
      </c>
    </row>
    <row r="211" spans="1:40" s="39" customFormat="1" ht="21.75" thickBot="1" x14ac:dyDescent="0.4">
      <c r="A211" s="955" t="s">
        <v>80</v>
      </c>
      <c r="B211" s="360">
        <v>3288</v>
      </c>
      <c r="C211" s="425">
        <v>45323</v>
      </c>
      <c r="D211" s="426">
        <v>45412</v>
      </c>
      <c r="E211" s="362">
        <v>0</v>
      </c>
      <c r="F211" s="818">
        <v>0</v>
      </c>
      <c r="G211" s="362"/>
      <c r="H211" s="362">
        <v>0</v>
      </c>
      <c r="I211" s="362">
        <v>0</v>
      </c>
      <c r="J211" s="363">
        <f t="shared" ref="J211:J238" si="52">SUM(F211:I211)</f>
        <v>0</v>
      </c>
      <c r="K211" s="364">
        <f>AB211-AL211</f>
        <v>0</v>
      </c>
      <c r="L211" s="956"/>
      <c r="M211" s="956"/>
      <c r="N211" s="956"/>
      <c r="O211" s="956"/>
      <c r="P211" s="956"/>
      <c r="Q211" s="956"/>
      <c r="R211" s="956"/>
      <c r="S211" s="956"/>
      <c r="T211" s="956"/>
      <c r="U211" s="855"/>
      <c r="V211" s="362"/>
      <c r="W211" s="362"/>
      <c r="X211" s="362"/>
      <c r="Y211" s="362"/>
      <c r="Z211" s="362"/>
      <c r="AA211" s="363"/>
      <c r="AB211" s="364">
        <v>1000000</v>
      </c>
      <c r="AC211" s="956"/>
      <c r="AD211" s="956"/>
      <c r="AE211" s="956"/>
      <c r="AF211" s="956"/>
      <c r="AG211" s="956"/>
      <c r="AH211" s="956"/>
      <c r="AI211" s="956"/>
      <c r="AJ211" s="956"/>
      <c r="AK211" s="957"/>
      <c r="AL211" s="665">
        <v>1000000</v>
      </c>
      <c r="AM211" s="954">
        <f t="shared" ref="AM211:AM231" si="53">(V211+W211+X211+Y211+Z211+AB211+AC211+AD211+AE211+AF211+AG211+AH211+AI211+AJ211+AK211)-AL211</f>
        <v>0</v>
      </c>
      <c r="AN211" s="712" t="s">
        <v>345</v>
      </c>
    </row>
    <row r="212" spans="1:40" s="39" customFormat="1" ht="21.75" thickBot="1" x14ac:dyDescent="0.4">
      <c r="A212" s="868" t="s">
        <v>80</v>
      </c>
      <c r="B212" s="991">
        <v>3289</v>
      </c>
      <c r="C212" s="865" t="s">
        <v>256</v>
      </c>
      <c r="D212" s="867" t="s">
        <v>257</v>
      </c>
      <c r="E212" s="672"/>
      <c r="F212" s="816">
        <f>W212-AL212</f>
        <v>0</v>
      </c>
      <c r="G212" s="672"/>
      <c r="H212" s="672"/>
      <c r="I212" s="672"/>
      <c r="J212" s="673">
        <f t="shared" si="52"/>
        <v>0</v>
      </c>
      <c r="K212" s="674"/>
      <c r="L212" s="662"/>
      <c r="M212" s="662"/>
      <c r="N212" s="662"/>
      <c r="O212" s="662"/>
      <c r="P212" s="662"/>
      <c r="Q212" s="662"/>
      <c r="R212" s="662"/>
      <c r="S212" s="662"/>
      <c r="T212" s="662"/>
      <c r="U212" s="855"/>
      <c r="V212" s="672"/>
      <c r="W212" s="672">
        <v>27150</v>
      </c>
      <c r="X212" s="672"/>
      <c r="Y212" s="672"/>
      <c r="Z212" s="672"/>
      <c r="AA212" s="673"/>
      <c r="AB212" s="674"/>
      <c r="AC212" s="662"/>
      <c r="AD212" s="662"/>
      <c r="AE212" s="662"/>
      <c r="AF212" s="662"/>
      <c r="AG212" s="662"/>
      <c r="AH212" s="662"/>
      <c r="AI212" s="662"/>
      <c r="AJ212" s="662"/>
      <c r="AK212" s="768"/>
      <c r="AL212" s="676">
        <f>24270+1440+1440</f>
        <v>27150</v>
      </c>
      <c r="AM212" s="808">
        <f t="shared" si="53"/>
        <v>0</v>
      </c>
      <c r="AN212" s="843" t="s">
        <v>410</v>
      </c>
    </row>
    <row r="213" spans="1:40" s="39" customFormat="1" ht="21.75" thickBot="1" x14ac:dyDescent="0.4">
      <c r="A213" s="667" t="s">
        <v>80</v>
      </c>
      <c r="B213" s="841">
        <v>3289</v>
      </c>
      <c r="C213" s="669" t="s">
        <v>256</v>
      </c>
      <c r="D213" s="679" t="s">
        <v>257</v>
      </c>
      <c r="E213" s="672"/>
      <c r="F213" s="816"/>
      <c r="G213" s="672">
        <f>X213-AL213</f>
        <v>0</v>
      </c>
      <c r="H213" s="672"/>
      <c r="I213" s="672"/>
      <c r="J213" s="673">
        <f t="shared" si="52"/>
        <v>0</v>
      </c>
      <c r="K213" s="674"/>
      <c r="L213" s="661"/>
      <c r="M213" s="661"/>
      <c r="N213" s="661"/>
      <c r="O213" s="661"/>
      <c r="P213" s="661"/>
      <c r="Q213" s="661"/>
      <c r="R213" s="661"/>
      <c r="S213" s="661"/>
      <c r="T213" s="661"/>
      <c r="U213" s="855"/>
      <c r="V213" s="672"/>
      <c r="W213" s="672"/>
      <c r="X213" s="672">
        <v>25890</v>
      </c>
      <c r="Y213" s="672"/>
      <c r="Z213" s="672"/>
      <c r="AA213" s="673"/>
      <c r="AB213" s="674"/>
      <c r="AC213" s="661"/>
      <c r="AD213" s="661"/>
      <c r="AE213" s="661"/>
      <c r="AF213" s="661"/>
      <c r="AG213" s="661"/>
      <c r="AH213" s="661"/>
      <c r="AI213" s="661"/>
      <c r="AJ213" s="661"/>
      <c r="AK213" s="842"/>
      <c r="AL213" s="676">
        <v>25890</v>
      </c>
      <c r="AM213" s="677">
        <f t="shared" si="53"/>
        <v>0</v>
      </c>
      <c r="AN213" s="843" t="s">
        <v>298</v>
      </c>
    </row>
    <row r="214" spans="1:40" s="39" customFormat="1" ht="21.75" thickBot="1" x14ac:dyDescent="0.4">
      <c r="A214" s="868" t="s">
        <v>80</v>
      </c>
      <c r="B214" s="991">
        <v>3289</v>
      </c>
      <c r="C214" s="865" t="s">
        <v>256</v>
      </c>
      <c r="D214" s="867" t="s">
        <v>257</v>
      </c>
      <c r="E214" s="672"/>
      <c r="F214" s="816"/>
      <c r="G214" s="672"/>
      <c r="H214" s="672">
        <f>Y214-AL214</f>
        <v>0</v>
      </c>
      <c r="I214" s="672"/>
      <c r="J214" s="673">
        <f t="shared" si="52"/>
        <v>0</v>
      </c>
      <c r="K214" s="674"/>
      <c r="L214" s="662"/>
      <c r="M214" s="662"/>
      <c r="N214" s="662"/>
      <c r="O214" s="662"/>
      <c r="P214" s="662"/>
      <c r="Q214" s="662"/>
      <c r="R214" s="662"/>
      <c r="S214" s="662"/>
      <c r="T214" s="662"/>
      <c r="U214" s="855"/>
      <c r="V214" s="672"/>
      <c r="W214" s="672"/>
      <c r="X214" s="672"/>
      <c r="Y214" s="672">
        <v>24600</v>
      </c>
      <c r="Z214" s="672"/>
      <c r="AA214" s="673"/>
      <c r="AB214" s="674"/>
      <c r="AC214" s="662"/>
      <c r="AD214" s="662"/>
      <c r="AE214" s="662"/>
      <c r="AF214" s="662"/>
      <c r="AG214" s="662"/>
      <c r="AH214" s="662"/>
      <c r="AI214" s="662"/>
      <c r="AJ214" s="662"/>
      <c r="AK214" s="768"/>
      <c r="AL214" s="676">
        <v>24600</v>
      </c>
      <c r="AM214" s="808">
        <f t="shared" si="53"/>
        <v>0</v>
      </c>
      <c r="AN214" s="843" t="s">
        <v>412</v>
      </c>
    </row>
    <row r="215" spans="1:40" s="39" customFormat="1" ht="21.75" thickBot="1" x14ac:dyDescent="0.4">
      <c r="A215" s="667" t="s">
        <v>80</v>
      </c>
      <c r="B215" s="841">
        <v>3289</v>
      </c>
      <c r="C215" s="669" t="s">
        <v>256</v>
      </c>
      <c r="D215" s="679" t="s">
        <v>257</v>
      </c>
      <c r="E215" s="672"/>
      <c r="F215" s="816"/>
      <c r="G215" s="672"/>
      <c r="H215" s="672"/>
      <c r="I215" s="672">
        <f>Z215-AL215</f>
        <v>0</v>
      </c>
      <c r="J215" s="673">
        <f t="shared" si="52"/>
        <v>0</v>
      </c>
      <c r="K215" s="674"/>
      <c r="L215" s="661"/>
      <c r="M215" s="661"/>
      <c r="N215" s="661"/>
      <c r="O215" s="661"/>
      <c r="P215" s="661"/>
      <c r="Q215" s="661"/>
      <c r="R215" s="661"/>
      <c r="S215" s="661"/>
      <c r="T215" s="661"/>
      <c r="U215" s="855"/>
      <c r="V215" s="672"/>
      <c r="W215" s="672"/>
      <c r="X215" s="672"/>
      <c r="Y215" s="672"/>
      <c r="Z215" s="672">
        <v>36240</v>
      </c>
      <c r="AA215" s="673"/>
      <c r="AB215" s="674"/>
      <c r="AC215" s="661"/>
      <c r="AD215" s="661"/>
      <c r="AE215" s="661"/>
      <c r="AF215" s="661"/>
      <c r="AG215" s="661"/>
      <c r="AH215" s="661"/>
      <c r="AI215" s="661"/>
      <c r="AJ215" s="661"/>
      <c r="AK215" s="842"/>
      <c r="AL215" s="676">
        <v>36240</v>
      </c>
      <c r="AM215" s="677">
        <f t="shared" si="53"/>
        <v>0</v>
      </c>
      <c r="AN215" s="843" t="s">
        <v>297</v>
      </c>
    </row>
    <row r="216" spans="1:40" s="39" customFormat="1" ht="21.75" thickBot="1" x14ac:dyDescent="0.4">
      <c r="A216" s="377" t="s">
        <v>80</v>
      </c>
      <c r="B216" s="729">
        <v>3292</v>
      </c>
      <c r="C216" s="423" t="s">
        <v>258</v>
      </c>
      <c r="D216" s="424" t="s">
        <v>257</v>
      </c>
      <c r="E216" s="355"/>
      <c r="F216" s="821"/>
      <c r="G216" s="355"/>
      <c r="H216" s="355"/>
      <c r="I216" s="355"/>
      <c r="J216" s="351">
        <f t="shared" si="52"/>
        <v>0</v>
      </c>
      <c r="K216" s="486">
        <f>AB216-AL216</f>
        <v>0</v>
      </c>
      <c r="L216" s="352"/>
      <c r="M216" s="352"/>
      <c r="N216" s="352"/>
      <c r="O216" s="352"/>
      <c r="P216" s="352"/>
      <c r="Q216" s="352"/>
      <c r="R216" s="352"/>
      <c r="S216" s="352"/>
      <c r="T216" s="352"/>
      <c r="U216" s="855"/>
      <c r="V216" s="356"/>
      <c r="W216" s="356"/>
      <c r="X216" s="356"/>
      <c r="Y216" s="356"/>
      <c r="Z216" s="356"/>
      <c r="AA216" s="353"/>
      <c r="AB216" s="358">
        <v>870000</v>
      </c>
      <c r="AC216" s="354"/>
      <c r="AD216" s="354"/>
      <c r="AE216" s="354"/>
      <c r="AF216" s="354"/>
      <c r="AG216" s="354"/>
      <c r="AH216" s="354"/>
      <c r="AI216" s="354"/>
      <c r="AJ216" s="354"/>
      <c r="AK216" s="531"/>
      <c r="AL216" s="436">
        <f>794800+75200</f>
        <v>870000</v>
      </c>
      <c r="AM216" s="390">
        <f t="shared" si="53"/>
        <v>0</v>
      </c>
      <c r="AN216" s="533" t="s">
        <v>414</v>
      </c>
    </row>
    <row r="217" spans="1:40" s="39" customFormat="1" ht="21.75" thickBot="1" x14ac:dyDescent="0.4">
      <c r="A217" s="868" t="s">
        <v>80</v>
      </c>
      <c r="B217" s="991">
        <v>3306</v>
      </c>
      <c r="C217" s="865" t="s">
        <v>290</v>
      </c>
      <c r="D217" s="867" t="s">
        <v>275</v>
      </c>
      <c r="E217" s="672"/>
      <c r="F217" s="816"/>
      <c r="G217" s="672">
        <f>X217-AL217</f>
        <v>0</v>
      </c>
      <c r="H217" s="672"/>
      <c r="I217" s="672"/>
      <c r="J217" s="673">
        <f t="shared" si="52"/>
        <v>0</v>
      </c>
      <c r="K217" s="674"/>
      <c r="L217" s="662"/>
      <c r="M217" s="662"/>
      <c r="N217" s="662"/>
      <c r="O217" s="662"/>
      <c r="P217" s="662"/>
      <c r="Q217" s="662"/>
      <c r="R217" s="662"/>
      <c r="S217" s="662"/>
      <c r="T217" s="662"/>
      <c r="U217" s="855"/>
      <c r="V217" s="672"/>
      <c r="W217" s="672"/>
      <c r="X217" s="672">
        <v>12180</v>
      </c>
      <c r="Y217" s="672"/>
      <c r="Z217" s="672"/>
      <c r="AA217" s="672"/>
      <c r="AB217" s="674"/>
      <c r="AC217" s="662"/>
      <c r="AD217" s="662"/>
      <c r="AE217" s="662"/>
      <c r="AF217" s="662"/>
      <c r="AG217" s="662"/>
      <c r="AH217" s="662"/>
      <c r="AI217" s="662"/>
      <c r="AJ217" s="662"/>
      <c r="AK217" s="768"/>
      <c r="AL217" s="676">
        <f>1440+2880+2730+5130</f>
        <v>12180</v>
      </c>
      <c r="AM217" s="992">
        <f t="shared" si="53"/>
        <v>0</v>
      </c>
      <c r="AN217" s="843" t="s">
        <v>480</v>
      </c>
    </row>
    <row r="218" spans="1:40" s="39" customFormat="1" ht="21.75" thickBot="1" x14ac:dyDescent="0.4">
      <c r="A218" s="868" t="s">
        <v>80</v>
      </c>
      <c r="B218" s="991">
        <v>3306</v>
      </c>
      <c r="C218" s="865" t="s">
        <v>290</v>
      </c>
      <c r="D218" s="867" t="s">
        <v>285</v>
      </c>
      <c r="E218" s="672"/>
      <c r="F218" s="816">
        <f>W218-AL218</f>
        <v>0</v>
      </c>
      <c r="G218" s="672"/>
      <c r="H218" s="672"/>
      <c r="I218" s="672"/>
      <c r="J218" s="673">
        <f t="shared" si="52"/>
        <v>0</v>
      </c>
      <c r="K218" s="674"/>
      <c r="L218" s="662"/>
      <c r="M218" s="662"/>
      <c r="N218" s="662"/>
      <c r="O218" s="662"/>
      <c r="P218" s="662"/>
      <c r="Q218" s="662"/>
      <c r="R218" s="662"/>
      <c r="S218" s="662"/>
      <c r="T218" s="662"/>
      <c r="U218" s="855"/>
      <c r="V218" s="672"/>
      <c r="W218" s="672">
        <v>2880</v>
      </c>
      <c r="X218" s="672"/>
      <c r="Y218" s="672"/>
      <c r="Z218" s="672"/>
      <c r="AA218" s="673"/>
      <c r="AB218" s="674"/>
      <c r="AC218" s="662"/>
      <c r="AD218" s="662"/>
      <c r="AE218" s="662"/>
      <c r="AF218" s="662"/>
      <c r="AG218" s="662"/>
      <c r="AH218" s="662"/>
      <c r="AI218" s="662"/>
      <c r="AJ218" s="662"/>
      <c r="AK218" s="768"/>
      <c r="AL218" s="676">
        <f>1440+1440</f>
        <v>2880</v>
      </c>
      <c r="AM218" s="992">
        <f t="shared" si="53"/>
        <v>0</v>
      </c>
      <c r="AN218" s="843" t="s">
        <v>408</v>
      </c>
    </row>
    <row r="219" spans="1:40" s="39" customFormat="1" ht="21.75" thickBot="1" x14ac:dyDescent="0.4">
      <c r="A219" s="868" t="s">
        <v>80</v>
      </c>
      <c r="B219" s="991">
        <v>3306</v>
      </c>
      <c r="C219" s="865" t="s">
        <v>290</v>
      </c>
      <c r="D219" s="867" t="s">
        <v>285</v>
      </c>
      <c r="E219" s="672"/>
      <c r="F219" s="816"/>
      <c r="G219" s="672"/>
      <c r="H219" s="672">
        <f>Y219-AL219</f>
        <v>0</v>
      </c>
      <c r="I219" s="672"/>
      <c r="J219" s="673">
        <f t="shared" si="52"/>
        <v>0</v>
      </c>
      <c r="K219" s="674"/>
      <c r="L219" s="662"/>
      <c r="M219" s="662"/>
      <c r="N219" s="662"/>
      <c r="O219" s="662"/>
      <c r="P219" s="662"/>
      <c r="Q219" s="662"/>
      <c r="R219" s="662"/>
      <c r="S219" s="662"/>
      <c r="T219" s="662"/>
      <c r="U219" s="855"/>
      <c r="V219" s="672"/>
      <c r="W219" s="672"/>
      <c r="X219" s="672"/>
      <c r="Y219" s="672">
        <v>12780</v>
      </c>
      <c r="Z219" s="672"/>
      <c r="AA219" s="673"/>
      <c r="AB219" s="674"/>
      <c r="AC219" s="662"/>
      <c r="AD219" s="662"/>
      <c r="AE219" s="662"/>
      <c r="AF219" s="662"/>
      <c r="AG219" s="662"/>
      <c r="AH219" s="662"/>
      <c r="AI219" s="662"/>
      <c r="AJ219" s="662"/>
      <c r="AK219" s="768"/>
      <c r="AL219" s="676">
        <f>3600+720+8460</f>
        <v>12780</v>
      </c>
      <c r="AM219" s="992">
        <f t="shared" si="53"/>
        <v>0</v>
      </c>
      <c r="AN219" s="843" t="s">
        <v>413</v>
      </c>
    </row>
    <row r="220" spans="1:40" s="39" customFormat="1" ht="21.75" thickBot="1" x14ac:dyDescent="0.4">
      <c r="A220" s="868" t="s">
        <v>80</v>
      </c>
      <c r="B220" s="991">
        <v>3306</v>
      </c>
      <c r="C220" s="865" t="s">
        <v>290</v>
      </c>
      <c r="D220" s="867" t="s">
        <v>285</v>
      </c>
      <c r="E220" s="672"/>
      <c r="F220" s="816"/>
      <c r="G220" s="672"/>
      <c r="H220" s="672"/>
      <c r="I220" s="672">
        <f>Z220-AL220</f>
        <v>0</v>
      </c>
      <c r="J220" s="673">
        <f t="shared" si="52"/>
        <v>0</v>
      </c>
      <c r="K220" s="674"/>
      <c r="L220" s="662"/>
      <c r="M220" s="662"/>
      <c r="N220" s="662"/>
      <c r="O220" s="662"/>
      <c r="P220" s="662"/>
      <c r="Q220" s="662"/>
      <c r="R220" s="662"/>
      <c r="S220" s="662"/>
      <c r="T220" s="662"/>
      <c r="U220" s="855"/>
      <c r="V220" s="672"/>
      <c r="W220" s="672"/>
      <c r="X220" s="672"/>
      <c r="Y220" s="672"/>
      <c r="Z220" s="672">
        <v>53460</v>
      </c>
      <c r="AA220" s="673"/>
      <c r="AB220" s="674"/>
      <c r="AC220" s="662"/>
      <c r="AD220" s="662"/>
      <c r="AE220" s="662"/>
      <c r="AF220" s="662"/>
      <c r="AG220" s="662"/>
      <c r="AH220" s="662"/>
      <c r="AI220" s="662"/>
      <c r="AJ220" s="662"/>
      <c r="AK220" s="768"/>
      <c r="AL220" s="676">
        <f>3600+3600+46260</f>
        <v>53460</v>
      </c>
      <c r="AM220" s="992">
        <f t="shared" si="53"/>
        <v>0</v>
      </c>
      <c r="AN220" s="843" t="s">
        <v>409</v>
      </c>
    </row>
    <row r="221" spans="1:40" s="39" customFormat="1" ht="21.75" thickBot="1" x14ac:dyDescent="0.4">
      <c r="A221" s="857" t="s">
        <v>80</v>
      </c>
      <c r="B221" s="896">
        <v>3308</v>
      </c>
      <c r="C221" s="877" t="s">
        <v>291</v>
      </c>
      <c r="D221" s="858" t="s">
        <v>285</v>
      </c>
      <c r="E221" s="347">
        <f>V221-AL221</f>
        <v>0</v>
      </c>
      <c r="F221" s="822"/>
      <c r="G221" s="347"/>
      <c r="H221" s="347"/>
      <c r="I221" s="347"/>
      <c r="J221" s="736">
        <f t="shared" si="52"/>
        <v>0</v>
      </c>
      <c r="K221" s="910">
        <v>0</v>
      </c>
      <c r="L221" s="405"/>
      <c r="M221" s="405"/>
      <c r="N221" s="405"/>
      <c r="O221" s="405"/>
      <c r="P221" s="405"/>
      <c r="Q221" s="405"/>
      <c r="R221" s="405"/>
      <c r="S221" s="405"/>
      <c r="T221" s="405"/>
      <c r="U221" s="855"/>
      <c r="V221" s="347">
        <v>125000</v>
      </c>
      <c r="W221" s="347"/>
      <c r="X221" s="347"/>
      <c r="Y221" s="347"/>
      <c r="Z221" s="347"/>
      <c r="AA221" s="736"/>
      <c r="AB221" s="348">
        <v>0</v>
      </c>
      <c r="AC221" s="405"/>
      <c r="AD221" s="405"/>
      <c r="AE221" s="405"/>
      <c r="AF221" s="405"/>
      <c r="AG221" s="405"/>
      <c r="AH221" s="405"/>
      <c r="AI221" s="405"/>
      <c r="AJ221" s="405"/>
      <c r="AK221" s="883"/>
      <c r="AL221" s="738">
        <v>125000</v>
      </c>
      <c r="AM221" s="633">
        <f t="shared" si="53"/>
        <v>0</v>
      </c>
      <c r="AN221" s="878" t="s">
        <v>317</v>
      </c>
    </row>
    <row r="222" spans="1:40" s="39" customFormat="1" ht="21.75" thickBot="1" x14ac:dyDescent="0.4">
      <c r="A222" s="868" t="s">
        <v>80</v>
      </c>
      <c r="B222" s="971">
        <v>3322</v>
      </c>
      <c r="C222" s="865" t="s">
        <v>334</v>
      </c>
      <c r="D222" s="867" t="s">
        <v>336</v>
      </c>
      <c r="E222" s="672"/>
      <c r="F222" s="816"/>
      <c r="G222" s="672">
        <f>X222-AL222</f>
        <v>0</v>
      </c>
      <c r="H222" s="672"/>
      <c r="I222" s="672"/>
      <c r="J222" s="673">
        <f t="shared" si="52"/>
        <v>0</v>
      </c>
      <c r="K222" s="674"/>
      <c r="L222" s="662"/>
      <c r="M222" s="662"/>
      <c r="N222" s="662"/>
      <c r="O222" s="662"/>
      <c r="P222" s="662"/>
      <c r="Q222" s="662"/>
      <c r="R222" s="662"/>
      <c r="S222" s="662"/>
      <c r="T222" s="662"/>
      <c r="U222" s="1119"/>
      <c r="V222" s="672"/>
      <c r="W222" s="672"/>
      <c r="X222" s="672">
        <v>16500</v>
      </c>
      <c r="Y222" s="672"/>
      <c r="Z222" s="672"/>
      <c r="AA222" s="672"/>
      <c r="AB222" s="674"/>
      <c r="AC222" s="662"/>
      <c r="AD222" s="662"/>
      <c r="AE222" s="662"/>
      <c r="AF222" s="662"/>
      <c r="AG222" s="662"/>
      <c r="AH222" s="662"/>
      <c r="AI222" s="662"/>
      <c r="AJ222" s="662"/>
      <c r="AK222" s="694"/>
      <c r="AL222" s="676">
        <v>16500</v>
      </c>
      <c r="AM222" s="808">
        <f t="shared" si="53"/>
        <v>0</v>
      </c>
      <c r="AN222" s="843" t="s">
        <v>542</v>
      </c>
    </row>
    <row r="223" spans="1:40" s="39" customFormat="1" ht="21.75" thickBot="1" x14ac:dyDescent="0.4">
      <c r="A223" s="868" t="s">
        <v>80</v>
      </c>
      <c r="B223" s="869">
        <v>3322</v>
      </c>
      <c r="C223" s="865" t="s">
        <v>334</v>
      </c>
      <c r="D223" s="867" t="s">
        <v>336</v>
      </c>
      <c r="E223" s="671"/>
      <c r="F223" s="816"/>
      <c r="G223" s="672"/>
      <c r="H223" s="672">
        <f>Y223-AL223</f>
        <v>0</v>
      </c>
      <c r="I223" s="672"/>
      <c r="J223" s="673">
        <f t="shared" si="52"/>
        <v>0</v>
      </c>
      <c r="K223" s="674"/>
      <c r="L223" s="1133"/>
      <c r="M223" s="662"/>
      <c r="N223" s="662"/>
      <c r="O223" s="662"/>
      <c r="P223" s="662"/>
      <c r="Q223" s="662"/>
      <c r="R223" s="662"/>
      <c r="S223" s="662"/>
      <c r="T223" s="662"/>
      <c r="U223" s="1119"/>
      <c r="V223" s="672"/>
      <c r="W223" s="672"/>
      <c r="X223" s="672"/>
      <c r="Y223" s="672">
        <v>45000</v>
      </c>
      <c r="Z223" s="672"/>
      <c r="AA223" s="672"/>
      <c r="AB223" s="674"/>
      <c r="AC223" s="662"/>
      <c r="AD223" s="662"/>
      <c r="AE223" s="662"/>
      <c r="AF223" s="662"/>
      <c r="AG223" s="662"/>
      <c r="AH223" s="662"/>
      <c r="AI223" s="662"/>
      <c r="AJ223" s="662"/>
      <c r="AK223" s="694"/>
      <c r="AL223" s="676">
        <v>45000</v>
      </c>
      <c r="AM223" s="808">
        <f t="shared" si="53"/>
        <v>0</v>
      </c>
      <c r="AN223" s="843" t="s">
        <v>542</v>
      </c>
    </row>
    <row r="224" spans="1:40" s="39" customFormat="1" ht="21.75" thickBot="1" x14ac:dyDescent="0.4">
      <c r="A224" s="868" t="s">
        <v>80</v>
      </c>
      <c r="B224" s="864">
        <v>3322</v>
      </c>
      <c r="C224" s="865" t="s">
        <v>334</v>
      </c>
      <c r="D224" s="867" t="s">
        <v>336</v>
      </c>
      <c r="E224" s="672"/>
      <c r="F224" s="816"/>
      <c r="G224" s="672"/>
      <c r="H224" s="672"/>
      <c r="I224" s="672">
        <f>Z224-AL224</f>
        <v>0</v>
      </c>
      <c r="J224" s="673">
        <f t="shared" si="52"/>
        <v>0</v>
      </c>
      <c r="K224" s="674"/>
      <c r="L224" s="662"/>
      <c r="M224" s="662"/>
      <c r="N224" s="662"/>
      <c r="O224" s="662"/>
      <c r="P224" s="662"/>
      <c r="Q224" s="662"/>
      <c r="R224" s="662"/>
      <c r="S224" s="662"/>
      <c r="T224" s="662"/>
      <c r="U224" s="1119"/>
      <c r="V224" s="672"/>
      <c r="W224" s="672"/>
      <c r="X224" s="672"/>
      <c r="Y224" s="672"/>
      <c r="Z224" s="672">
        <v>15000</v>
      </c>
      <c r="AA224" s="672"/>
      <c r="AB224" s="674"/>
      <c r="AC224" s="662"/>
      <c r="AD224" s="662"/>
      <c r="AE224" s="662"/>
      <c r="AF224" s="662"/>
      <c r="AG224" s="662"/>
      <c r="AH224" s="662"/>
      <c r="AI224" s="662"/>
      <c r="AJ224" s="662"/>
      <c r="AK224" s="694"/>
      <c r="AL224" s="676">
        <v>15000</v>
      </c>
      <c r="AM224" s="808">
        <f t="shared" si="53"/>
        <v>0</v>
      </c>
      <c r="AN224" s="843" t="s">
        <v>542</v>
      </c>
    </row>
    <row r="225" spans="1:40" s="39" customFormat="1" ht="21.75" thickBot="1" x14ac:dyDescent="0.4">
      <c r="A225" s="868" t="s">
        <v>80</v>
      </c>
      <c r="B225" s="864">
        <v>3323</v>
      </c>
      <c r="C225" s="865" t="s">
        <v>334</v>
      </c>
      <c r="D225" s="867" t="s">
        <v>336</v>
      </c>
      <c r="E225" s="672"/>
      <c r="F225" s="816"/>
      <c r="G225" s="672"/>
      <c r="H225" s="672"/>
      <c r="I225" s="672"/>
      <c r="J225" s="673">
        <f t="shared" si="52"/>
        <v>0</v>
      </c>
      <c r="K225" s="674"/>
      <c r="L225" s="662"/>
      <c r="M225" s="662">
        <f>AD225-AL225</f>
        <v>0</v>
      </c>
      <c r="N225" s="662"/>
      <c r="O225" s="662"/>
      <c r="P225" s="662"/>
      <c r="Q225" s="662"/>
      <c r="R225" s="662"/>
      <c r="S225" s="662"/>
      <c r="T225" s="662"/>
      <c r="U225" s="855"/>
      <c r="V225" s="672"/>
      <c r="W225" s="672"/>
      <c r="X225" s="672"/>
      <c r="Y225" s="672"/>
      <c r="Z225" s="672"/>
      <c r="AA225" s="673"/>
      <c r="AB225" s="674"/>
      <c r="AC225" s="662"/>
      <c r="AD225" s="662">
        <v>10000</v>
      </c>
      <c r="AE225" s="662"/>
      <c r="AF225" s="662"/>
      <c r="AG225" s="662"/>
      <c r="AH225" s="662"/>
      <c r="AI225" s="662"/>
      <c r="AJ225" s="662"/>
      <c r="AK225" s="694"/>
      <c r="AL225" s="676">
        <v>10000</v>
      </c>
      <c r="AM225" s="808">
        <f t="shared" si="53"/>
        <v>0</v>
      </c>
      <c r="AN225" s="843" t="s">
        <v>411</v>
      </c>
    </row>
    <row r="226" spans="1:40" s="39" customFormat="1" ht="21.75" thickBot="1" x14ac:dyDescent="0.4">
      <c r="A226" s="868" t="s">
        <v>80</v>
      </c>
      <c r="B226" s="864">
        <v>3323</v>
      </c>
      <c r="C226" s="865" t="s">
        <v>334</v>
      </c>
      <c r="D226" s="867" t="s">
        <v>336</v>
      </c>
      <c r="E226" s="672"/>
      <c r="F226" s="816"/>
      <c r="G226" s="672"/>
      <c r="H226" s="672"/>
      <c r="I226" s="672"/>
      <c r="J226" s="673">
        <f t="shared" si="52"/>
        <v>0</v>
      </c>
      <c r="K226" s="674"/>
      <c r="L226" s="662">
        <f>AD226-AK226</f>
        <v>0</v>
      </c>
      <c r="M226" s="662">
        <f>AE226-AL226</f>
        <v>0</v>
      </c>
      <c r="N226" s="662"/>
      <c r="O226" s="662"/>
      <c r="P226" s="662"/>
      <c r="Q226" s="662"/>
      <c r="R226" s="662"/>
      <c r="S226" s="662"/>
      <c r="T226" s="662"/>
      <c r="U226" s="855"/>
      <c r="V226" s="672"/>
      <c r="W226" s="672"/>
      <c r="X226" s="672"/>
      <c r="Y226" s="672"/>
      <c r="Z226" s="672"/>
      <c r="AA226" s="673"/>
      <c r="AB226" s="674"/>
      <c r="AC226" s="662"/>
      <c r="AD226" s="662"/>
      <c r="AE226" s="662">
        <v>10000</v>
      </c>
      <c r="AF226" s="662"/>
      <c r="AG226" s="662"/>
      <c r="AH226" s="662"/>
      <c r="AI226" s="662"/>
      <c r="AJ226" s="662"/>
      <c r="AK226" s="694"/>
      <c r="AL226" s="676">
        <v>10000</v>
      </c>
      <c r="AM226" s="808">
        <f t="shared" si="53"/>
        <v>0</v>
      </c>
      <c r="AN226" s="843" t="s">
        <v>411</v>
      </c>
    </row>
    <row r="227" spans="1:40" s="39" customFormat="1" ht="21.75" thickBot="1" x14ac:dyDescent="0.4">
      <c r="A227" s="868" t="s">
        <v>80</v>
      </c>
      <c r="B227" s="864">
        <v>3324</v>
      </c>
      <c r="C227" s="865" t="s">
        <v>334</v>
      </c>
      <c r="D227" s="867" t="s">
        <v>335</v>
      </c>
      <c r="E227" s="672">
        <f>V227-AL227</f>
        <v>0</v>
      </c>
      <c r="F227" s="816"/>
      <c r="G227" s="672"/>
      <c r="H227" s="672"/>
      <c r="I227" s="672"/>
      <c r="J227" s="673">
        <f t="shared" si="52"/>
        <v>0</v>
      </c>
      <c r="K227" s="674"/>
      <c r="L227" s="662"/>
      <c r="M227" s="662"/>
      <c r="N227" s="662"/>
      <c r="O227" s="662"/>
      <c r="P227" s="662"/>
      <c r="Q227" s="662"/>
      <c r="R227" s="662"/>
      <c r="S227" s="662"/>
      <c r="T227" s="662"/>
      <c r="U227" s="855"/>
      <c r="V227" s="672">
        <v>125000</v>
      </c>
      <c r="W227" s="672"/>
      <c r="X227" s="672"/>
      <c r="Y227" s="672"/>
      <c r="Z227" s="672"/>
      <c r="AA227" s="672"/>
      <c r="AB227" s="674"/>
      <c r="AC227" s="662"/>
      <c r="AD227" s="662"/>
      <c r="AE227" s="662"/>
      <c r="AF227" s="662"/>
      <c r="AG227" s="662"/>
      <c r="AH227" s="662"/>
      <c r="AI227" s="662"/>
      <c r="AJ227" s="662"/>
      <c r="AK227" s="694"/>
      <c r="AL227" s="676">
        <v>125000</v>
      </c>
      <c r="AM227" s="808">
        <f t="shared" si="53"/>
        <v>0</v>
      </c>
      <c r="AN227" s="843" t="s">
        <v>479</v>
      </c>
    </row>
    <row r="228" spans="1:40" s="39" customFormat="1" ht="21.75" thickBot="1" x14ac:dyDescent="0.4">
      <c r="A228" s="868" t="s">
        <v>80</v>
      </c>
      <c r="B228" s="864">
        <v>3266</v>
      </c>
      <c r="C228" s="865" t="s">
        <v>390</v>
      </c>
      <c r="D228" s="867" t="s">
        <v>392</v>
      </c>
      <c r="E228" s="672">
        <f>V228-AL228</f>
        <v>0</v>
      </c>
      <c r="F228" s="816"/>
      <c r="G228" s="672"/>
      <c r="H228" s="672"/>
      <c r="I228" s="672"/>
      <c r="J228" s="673">
        <f t="shared" si="52"/>
        <v>0</v>
      </c>
      <c r="K228" s="674"/>
      <c r="L228" s="662"/>
      <c r="M228" s="662"/>
      <c r="N228" s="662"/>
      <c r="O228" s="662"/>
      <c r="P228" s="662"/>
      <c r="Q228" s="662"/>
      <c r="R228" s="662"/>
      <c r="S228" s="662"/>
      <c r="T228" s="662"/>
      <c r="U228" s="855"/>
      <c r="V228" s="672">
        <v>125000</v>
      </c>
      <c r="W228" s="672"/>
      <c r="X228" s="672"/>
      <c r="Y228" s="672"/>
      <c r="Z228" s="672"/>
      <c r="AA228" s="672"/>
      <c r="AB228" s="674"/>
      <c r="AC228" s="662"/>
      <c r="AD228" s="662"/>
      <c r="AE228" s="662"/>
      <c r="AF228" s="662"/>
      <c r="AG228" s="662"/>
      <c r="AH228" s="662"/>
      <c r="AI228" s="662"/>
      <c r="AJ228" s="662"/>
      <c r="AK228" s="694"/>
      <c r="AL228" s="676">
        <f>13625+111375</f>
        <v>125000</v>
      </c>
      <c r="AM228" s="808">
        <f t="shared" si="53"/>
        <v>0</v>
      </c>
      <c r="AN228" s="843" t="s">
        <v>530</v>
      </c>
    </row>
    <row r="229" spans="1:40" s="381" customFormat="1" ht="21.75" thickBot="1" x14ac:dyDescent="0.4">
      <c r="A229" s="868" t="s">
        <v>80</v>
      </c>
      <c r="B229" s="864">
        <v>3327</v>
      </c>
      <c r="C229" s="923" t="s">
        <v>466</v>
      </c>
      <c r="D229" s="882" t="s">
        <v>467</v>
      </c>
      <c r="E229" s="816"/>
      <c r="F229" s="816"/>
      <c r="G229" s="672"/>
      <c r="H229" s="672"/>
      <c r="I229" s="672"/>
      <c r="J229" s="673">
        <f t="shared" si="52"/>
        <v>0</v>
      </c>
      <c r="K229" s="674"/>
      <c r="L229" s="662"/>
      <c r="M229" s="662">
        <f>AD229-AL229</f>
        <v>0</v>
      </c>
      <c r="N229" s="662"/>
      <c r="O229" s="662"/>
      <c r="P229" s="662"/>
      <c r="Q229" s="662"/>
      <c r="R229" s="662"/>
      <c r="S229" s="662"/>
      <c r="T229" s="662"/>
      <c r="U229" s="855"/>
      <c r="V229" s="672"/>
      <c r="W229" s="672"/>
      <c r="X229" s="672"/>
      <c r="Y229" s="672"/>
      <c r="Z229" s="693"/>
      <c r="AA229" s="672"/>
      <c r="AB229" s="674"/>
      <c r="AC229" s="662"/>
      <c r="AD229" s="662">
        <v>20000</v>
      </c>
      <c r="AE229" s="662"/>
      <c r="AF229" s="662"/>
      <c r="AG229" s="662"/>
      <c r="AH229" s="662"/>
      <c r="AI229" s="662"/>
      <c r="AJ229" s="662"/>
      <c r="AK229" s="694"/>
      <c r="AL229" s="676">
        <f>14245+5755</f>
        <v>20000</v>
      </c>
      <c r="AM229" s="808">
        <f>(V229+W229+X229+Y229+Z229+AB229+AC229+AD229+AE229+AF229+AG229+AH229+AI229+AJ229+AK229)-AL229</f>
        <v>0</v>
      </c>
      <c r="AN229" s="870" t="s">
        <v>539</v>
      </c>
    </row>
    <row r="230" spans="1:40" s="381" customFormat="1" ht="21.75" thickBot="1" x14ac:dyDescent="0.4">
      <c r="A230" s="377" t="s">
        <v>80</v>
      </c>
      <c r="B230" s="378">
        <v>3334</v>
      </c>
      <c r="C230" s="907" t="s">
        <v>426</v>
      </c>
      <c r="D230" s="908" t="s">
        <v>335</v>
      </c>
      <c r="E230" s="909"/>
      <c r="F230" s="821"/>
      <c r="G230" s="355"/>
      <c r="H230" s="355"/>
      <c r="I230" s="355"/>
      <c r="J230" s="351">
        <f t="shared" si="52"/>
        <v>0</v>
      </c>
      <c r="K230" s="367"/>
      <c r="L230" s="487"/>
      <c r="M230" s="487">
        <f>AD230-AL230</f>
        <v>0</v>
      </c>
      <c r="N230" s="487"/>
      <c r="O230" s="487"/>
      <c r="P230" s="487"/>
      <c r="Q230" s="487"/>
      <c r="R230" s="487"/>
      <c r="S230" s="487"/>
      <c r="T230" s="487"/>
      <c r="U230" s="855"/>
      <c r="V230" s="356"/>
      <c r="W230" s="356"/>
      <c r="X230" s="356"/>
      <c r="Y230" s="356"/>
      <c r="Z230" s="387"/>
      <c r="AA230" s="353"/>
      <c r="AB230" s="358"/>
      <c r="AC230" s="388"/>
      <c r="AD230" s="388">
        <v>20000</v>
      </c>
      <c r="AE230" s="388"/>
      <c r="AF230" s="388"/>
      <c r="AG230" s="388"/>
      <c r="AH230" s="388"/>
      <c r="AI230" s="388"/>
      <c r="AJ230" s="388"/>
      <c r="AK230" s="470"/>
      <c r="AL230" s="436">
        <v>20000</v>
      </c>
      <c r="AM230" s="390">
        <f t="shared" si="53"/>
        <v>0</v>
      </c>
      <c r="AN230" s="901" t="s">
        <v>566</v>
      </c>
    </row>
    <row r="231" spans="1:40" s="381" customFormat="1" ht="21.75" thickBot="1" x14ac:dyDescent="0.4">
      <c r="A231" s="868" t="s">
        <v>80</v>
      </c>
      <c r="B231" s="864">
        <v>3335</v>
      </c>
      <c r="C231" s="923" t="s">
        <v>425</v>
      </c>
      <c r="D231" s="882" t="s">
        <v>335</v>
      </c>
      <c r="E231" s="816"/>
      <c r="F231" s="816"/>
      <c r="G231" s="672"/>
      <c r="H231" s="672"/>
      <c r="I231" s="672"/>
      <c r="J231" s="672">
        <f t="shared" si="52"/>
        <v>0</v>
      </c>
      <c r="K231" s="674"/>
      <c r="L231" s="662"/>
      <c r="M231" s="662"/>
      <c r="N231" s="662">
        <f>AE231-AL231</f>
        <v>0</v>
      </c>
      <c r="O231" s="662"/>
      <c r="P231" s="662"/>
      <c r="Q231" s="662"/>
      <c r="R231" s="662"/>
      <c r="S231" s="662"/>
      <c r="T231" s="662"/>
      <c r="U231" s="855"/>
      <c r="V231" s="672"/>
      <c r="W231" s="672"/>
      <c r="X231" s="672"/>
      <c r="Y231" s="672"/>
      <c r="Z231" s="693"/>
      <c r="AA231" s="672"/>
      <c r="AB231" s="674"/>
      <c r="AC231" s="662"/>
      <c r="AD231" s="662"/>
      <c r="AE231" s="662">
        <v>15000</v>
      </c>
      <c r="AF231" s="662"/>
      <c r="AG231" s="662"/>
      <c r="AH231" s="662"/>
      <c r="AI231" s="662"/>
      <c r="AJ231" s="662"/>
      <c r="AK231" s="694"/>
      <c r="AL231" s="676">
        <v>15000</v>
      </c>
      <c r="AM231" s="808">
        <f t="shared" si="53"/>
        <v>0</v>
      </c>
      <c r="AN231" s="870" t="s">
        <v>546</v>
      </c>
    </row>
    <row r="232" spans="1:40" s="381" customFormat="1" ht="21.75" thickBot="1" x14ac:dyDescent="0.4">
      <c r="A232" s="380" t="s">
        <v>80</v>
      </c>
      <c r="B232" s="378">
        <v>3338</v>
      </c>
      <c r="C232" s="423" t="s">
        <v>464</v>
      </c>
      <c r="D232" s="424" t="s">
        <v>465</v>
      </c>
      <c r="E232" s="355">
        <f>V232-AL232</f>
        <v>58825</v>
      </c>
      <c r="F232" s="821"/>
      <c r="G232" s="355"/>
      <c r="H232" s="355"/>
      <c r="I232" s="355"/>
      <c r="J232" s="351">
        <f t="shared" si="52"/>
        <v>0</v>
      </c>
      <c r="K232" s="367"/>
      <c r="L232" s="487"/>
      <c r="M232" s="487"/>
      <c r="N232" s="487"/>
      <c r="O232" s="487"/>
      <c r="P232" s="487"/>
      <c r="Q232" s="487"/>
      <c r="R232" s="487"/>
      <c r="S232" s="487"/>
      <c r="T232" s="487"/>
      <c r="U232" s="855"/>
      <c r="V232" s="356">
        <v>125000</v>
      </c>
      <c r="W232" s="356"/>
      <c r="X232" s="356"/>
      <c r="Y232" s="356"/>
      <c r="Z232" s="356"/>
      <c r="AA232" s="356"/>
      <c r="AB232" s="358"/>
      <c r="AC232" s="388"/>
      <c r="AD232" s="388"/>
      <c r="AE232" s="388"/>
      <c r="AF232" s="388"/>
      <c r="AG232" s="388"/>
      <c r="AH232" s="388"/>
      <c r="AI232" s="388"/>
      <c r="AJ232" s="388"/>
      <c r="AK232" s="438"/>
      <c r="AL232" s="436">
        <f>13675+52500</f>
        <v>66175</v>
      </c>
      <c r="AM232" s="390">
        <f t="shared" ref="AM232:AM239" si="54">(V232+W232+X232+Y232+Z232+AB232+AC232+AD232+AE232+AF232+AG232+AH232+AI232+AJ232+AK232)-AL232</f>
        <v>58825</v>
      </c>
      <c r="AN232" s="1118" t="s">
        <v>564</v>
      </c>
    </row>
    <row r="233" spans="1:40" s="39" customFormat="1" ht="21.75" thickBot="1" x14ac:dyDescent="0.4">
      <c r="A233" s="868" t="s">
        <v>80</v>
      </c>
      <c r="B233" s="864">
        <v>3339</v>
      </c>
      <c r="C233" s="865">
        <v>45732</v>
      </c>
      <c r="D233" s="867">
        <v>45746</v>
      </c>
      <c r="E233" s="672"/>
      <c r="F233" s="816"/>
      <c r="G233" s="672"/>
      <c r="H233" s="672"/>
      <c r="I233" s="672"/>
      <c r="J233" s="673">
        <f t="shared" si="52"/>
        <v>0</v>
      </c>
      <c r="K233" s="674"/>
      <c r="L233" s="662"/>
      <c r="M233" s="662">
        <f>AD233-AL233</f>
        <v>0</v>
      </c>
      <c r="N233" s="662"/>
      <c r="O233" s="662"/>
      <c r="P233" s="662"/>
      <c r="Q233" s="662"/>
      <c r="R233" s="662"/>
      <c r="S233" s="662"/>
      <c r="T233" s="662"/>
      <c r="U233" s="855"/>
      <c r="V233" s="672"/>
      <c r="W233" s="672"/>
      <c r="X233" s="672"/>
      <c r="Y233" s="672"/>
      <c r="Z233" s="672"/>
      <c r="AA233" s="672"/>
      <c r="AB233" s="674"/>
      <c r="AC233" s="1133"/>
      <c r="AD233" s="662">
        <v>20000</v>
      </c>
      <c r="AE233" s="662"/>
      <c r="AF233" s="662"/>
      <c r="AG233" s="662"/>
      <c r="AH233" s="662"/>
      <c r="AI233" s="662"/>
      <c r="AJ233" s="662"/>
      <c r="AK233" s="694"/>
      <c r="AL233" s="676">
        <v>20000</v>
      </c>
      <c r="AM233" s="808">
        <f t="shared" si="54"/>
        <v>0</v>
      </c>
      <c r="AN233" s="533" t="s">
        <v>517</v>
      </c>
    </row>
    <row r="234" spans="1:40" s="39" customFormat="1" ht="21.75" thickBot="1" x14ac:dyDescent="0.4">
      <c r="A234" s="868" t="s">
        <v>80</v>
      </c>
      <c r="B234" s="864">
        <v>3339</v>
      </c>
      <c r="C234" s="865">
        <v>45732</v>
      </c>
      <c r="D234" s="867">
        <v>45746</v>
      </c>
      <c r="E234" s="672"/>
      <c r="F234" s="816"/>
      <c r="G234" s="672"/>
      <c r="H234" s="672"/>
      <c r="I234" s="672"/>
      <c r="J234" s="673">
        <f t="shared" si="52"/>
        <v>0</v>
      </c>
      <c r="K234" s="674"/>
      <c r="L234" s="662"/>
      <c r="M234" s="662"/>
      <c r="N234" s="662">
        <f>AE234-AL234</f>
        <v>0</v>
      </c>
      <c r="O234" s="662"/>
      <c r="P234" s="662"/>
      <c r="Q234" s="662"/>
      <c r="R234" s="662"/>
      <c r="S234" s="662"/>
      <c r="T234" s="662"/>
      <c r="U234" s="855"/>
      <c r="V234" s="672"/>
      <c r="W234" s="672"/>
      <c r="X234" s="672"/>
      <c r="Y234" s="672"/>
      <c r="Z234" s="672"/>
      <c r="AA234" s="672"/>
      <c r="AB234" s="674"/>
      <c r="AC234" s="1133"/>
      <c r="AD234" s="662"/>
      <c r="AE234" s="662">
        <v>15000</v>
      </c>
      <c r="AF234" s="662"/>
      <c r="AG234" s="662"/>
      <c r="AH234" s="662"/>
      <c r="AI234" s="662"/>
      <c r="AJ234" s="662"/>
      <c r="AK234" s="694"/>
      <c r="AL234" s="676">
        <v>15000</v>
      </c>
      <c r="AM234" s="808">
        <f t="shared" si="54"/>
        <v>0</v>
      </c>
      <c r="AN234" s="533" t="s">
        <v>516</v>
      </c>
    </row>
    <row r="235" spans="1:40" s="39" customFormat="1" ht="21" customHeight="1" thickBot="1" x14ac:dyDescent="0.4">
      <c r="A235" s="868" t="s">
        <v>80</v>
      </c>
      <c r="B235" s="864">
        <v>3346</v>
      </c>
      <c r="C235" s="865">
        <v>45732</v>
      </c>
      <c r="D235" s="867">
        <v>45746</v>
      </c>
      <c r="E235" s="672"/>
      <c r="F235" s="816">
        <f>W235-AL235</f>
        <v>0</v>
      </c>
      <c r="G235" s="672"/>
      <c r="H235" s="672"/>
      <c r="I235" s="672"/>
      <c r="J235" s="673">
        <f t="shared" si="52"/>
        <v>0</v>
      </c>
      <c r="K235" s="674"/>
      <c r="L235" s="662"/>
      <c r="M235" s="662"/>
      <c r="N235" s="662"/>
      <c r="O235" s="662"/>
      <c r="P235" s="662"/>
      <c r="Q235" s="662"/>
      <c r="R235" s="662"/>
      <c r="S235" s="662"/>
      <c r="T235" s="662"/>
      <c r="U235" s="855"/>
      <c r="V235" s="672"/>
      <c r="W235" s="672">
        <v>42600</v>
      </c>
      <c r="X235" s="672"/>
      <c r="Y235" s="672"/>
      <c r="Z235" s="672"/>
      <c r="AA235" s="672"/>
      <c r="AB235" s="674"/>
      <c r="AC235" s="1133"/>
      <c r="AD235" s="662"/>
      <c r="AE235" s="662"/>
      <c r="AF235" s="662"/>
      <c r="AG235" s="662"/>
      <c r="AH235" s="662"/>
      <c r="AI235" s="662"/>
      <c r="AJ235" s="662"/>
      <c r="AK235" s="694"/>
      <c r="AL235" s="676">
        <f>18420+24180</f>
        <v>42600</v>
      </c>
      <c r="AM235" s="808">
        <f t="shared" si="54"/>
        <v>0</v>
      </c>
      <c r="AN235" s="843" t="s">
        <v>540</v>
      </c>
    </row>
    <row r="236" spans="1:40" s="39" customFormat="1" ht="21.75" thickBot="1" x14ac:dyDescent="0.4">
      <c r="A236" s="868" t="s">
        <v>80</v>
      </c>
      <c r="B236" s="864">
        <v>3346</v>
      </c>
      <c r="C236" s="865">
        <v>45732</v>
      </c>
      <c r="D236" s="867">
        <v>45746</v>
      </c>
      <c r="E236" s="672"/>
      <c r="F236" s="816"/>
      <c r="G236" s="816">
        <f>X236-AL236</f>
        <v>0</v>
      </c>
      <c r="H236" s="672"/>
      <c r="I236" s="672"/>
      <c r="J236" s="673">
        <f t="shared" si="52"/>
        <v>0</v>
      </c>
      <c r="K236" s="674"/>
      <c r="L236" s="662"/>
      <c r="M236" s="662"/>
      <c r="N236" s="662"/>
      <c r="O236" s="662"/>
      <c r="P236" s="662"/>
      <c r="Q236" s="662"/>
      <c r="R236" s="662"/>
      <c r="S236" s="662"/>
      <c r="T236" s="662"/>
      <c r="U236" s="855"/>
      <c r="V236" s="672"/>
      <c r="W236" s="672"/>
      <c r="X236" s="672">
        <v>13200</v>
      </c>
      <c r="Y236" s="672"/>
      <c r="Z236" s="672"/>
      <c r="AA236" s="672"/>
      <c r="AB236" s="674"/>
      <c r="AC236" s="1133"/>
      <c r="AD236" s="662"/>
      <c r="AE236" s="662"/>
      <c r="AF236" s="662"/>
      <c r="AG236" s="662"/>
      <c r="AH236" s="662"/>
      <c r="AI236" s="662"/>
      <c r="AJ236" s="662"/>
      <c r="AK236" s="694"/>
      <c r="AL236" s="676">
        <v>13200</v>
      </c>
      <c r="AM236" s="808">
        <f t="shared" si="54"/>
        <v>0</v>
      </c>
      <c r="AN236" s="843" t="s">
        <v>541</v>
      </c>
    </row>
    <row r="237" spans="1:40" s="39" customFormat="1" ht="21.75" thickBot="1" x14ac:dyDescent="0.4">
      <c r="A237" s="868" t="s">
        <v>80</v>
      </c>
      <c r="B237" s="864">
        <v>3346</v>
      </c>
      <c r="C237" s="865">
        <v>45732</v>
      </c>
      <c r="D237" s="867">
        <v>45746</v>
      </c>
      <c r="E237" s="672"/>
      <c r="F237" s="816"/>
      <c r="G237" s="672"/>
      <c r="H237" s="816">
        <f>Y237-AL237</f>
        <v>0</v>
      </c>
      <c r="I237" s="672"/>
      <c r="J237" s="673">
        <f t="shared" si="52"/>
        <v>0</v>
      </c>
      <c r="K237" s="674"/>
      <c r="L237" s="662"/>
      <c r="M237" s="662"/>
      <c r="N237" s="662"/>
      <c r="O237" s="662"/>
      <c r="P237" s="662"/>
      <c r="Q237" s="662"/>
      <c r="R237" s="662"/>
      <c r="S237" s="662"/>
      <c r="T237" s="662"/>
      <c r="U237" s="855"/>
      <c r="V237" s="672"/>
      <c r="W237" s="672"/>
      <c r="X237" s="672"/>
      <c r="Y237" s="672">
        <v>19050</v>
      </c>
      <c r="Z237" s="672"/>
      <c r="AA237" s="672"/>
      <c r="AB237" s="674"/>
      <c r="AC237" s="1133"/>
      <c r="AD237" s="662"/>
      <c r="AE237" s="662"/>
      <c r="AF237" s="662"/>
      <c r="AG237" s="662"/>
      <c r="AH237" s="662"/>
      <c r="AI237" s="662"/>
      <c r="AJ237" s="662"/>
      <c r="AK237" s="694"/>
      <c r="AL237" s="676">
        <v>19050</v>
      </c>
      <c r="AM237" s="808">
        <f t="shared" si="54"/>
        <v>0</v>
      </c>
      <c r="AN237" s="843" t="s">
        <v>514</v>
      </c>
    </row>
    <row r="238" spans="1:40" s="39" customFormat="1" ht="21.75" thickBot="1" x14ac:dyDescent="0.4">
      <c r="A238" s="377" t="s">
        <v>80</v>
      </c>
      <c r="B238" s="378">
        <v>3346</v>
      </c>
      <c r="C238" s="423">
        <v>45732</v>
      </c>
      <c r="D238" s="1032">
        <v>45746</v>
      </c>
      <c r="E238" s="355"/>
      <c r="F238" s="821"/>
      <c r="G238" s="355"/>
      <c r="H238" s="355"/>
      <c r="I238" s="821">
        <f>Z238-AL238</f>
        <v>120</v>
      </c>
      <c r="J238" s="351">
        <f t="shared" si="52"/>
        <v>120</v>
      </c>
      <c r="K238" s="805"/>
      <c r="L238" s="352"/>
      <c r="M238" s="352"/>
      <c r="N238" s="352"/>
      <c r="O238" s="352"/>
      <c r="P238" s="352"/>
      <c r="Q238" s="352"/>
      <c r="R238" s="352"/>
      <c r="S238" s="352"/>
      <c r="T238" s="352"/>
      <c r="U238" s="855"/>
      <c r="V238" s="356"/>
      <c r="W238" s="356"/>
      <c r="X238" s="356"/>
      <c r="Y238" s="356"/>
      <c r="Z238" s="356">
        <v>52890</v>
      </c>
      <c r="AA238" s="1055"/>
      <c r="AB238" s="1056"/>
      <c r="AC238" s="1057"/>
      <c r="AD238" s="354"/>
      <c r="AE238" s="354"/>
      <c r="AF238" s="354"/>
      <c r="AG238" s="354"/>
      <c r="AH238" s="354"/>
      <c r="AI238" s="354"/>
      <c r="AJ238" s="354"/>
      <c r="AK238" s="1058"/>
      <c r="AL238" s="436">
        <v>52770</v>
      </c>
      <c r="AM238" s="390">
        <f t="shared" si="54"/>
        <v>120</v>
      </c>
      <c r="AN238" s="533" t="s">
        <v>515</v>
      </c>
    </row>
    <row r="239" spans="1:40" s="379" customFormat="1" ht="21.75" thickBot="1" x14ac:dyDescent="0.4">
      <c r="A239" s="868" t="s">
        <v>80</v>
      </c>
      <c r="B239" s="869">
        <v>3348</v>
      </c>
      <c r="C239" s="923" t="s">
        <v>499</v>
      </c>
      <c r="D239" s="882" t="s">
        <v>500</v>
      </c>
      <c r="E239" s="672"/>
      <c r="F239" s="816"/>
      <c r="G239" s="816"/>
      <c r="H239" s="816"/>
      <c r="I239" s="672"/>
      <c r="J239" s="673"/>
      <c r="K239" s="674">
        <f>AB239-AL239</f>
        <v>0</v>
      </c>
      <c r="L239" s="662"/>
      <c r="M239" s="662"/>
      <c r="N239" s="662"/>
      <c r="O239" s="662"/>
      <c r="P239" s="662"/>
      <c r="Q239" s="662"/>
      <c r="R239" s="662"/>
      <c r="S239" s="662"/>
      <c r="T239" s="662"/>
      <c r="U239" s="855"/>
      <c r="V239" s="672"/>
      <c r="W239" s="672"/>
      <c r="X239" s="672"/>
      <c r="Y239" s="672"/>
      <c r="Z239" s="693"/>
      <c r="AA239" s="672"/>
      <c r="AB239" s="674">
        <v>863000</v>
      </c>
      <c r="AC239" s="662"/>
      <c r="AD239" s="662"/>
      <c r="AE239" s="662"/>
      <c r="AF239" s="662"/>
      <c r="AG239" s="662"/>
      <c r="AH239" s="662"/>
      <c r="AI239" s="662"/>
      <c r="AJ239" s="662"/>
      <c r="AK239" s="768"/>
      <c r="AL239" s="676">
        <v>863000</v>
      </c>
      <c r="AM239" s="676">
        <f t="shared" si="54"/>
        <v>0</v>
      </c>
      <c r="AN239" s="870" t="s">
        <v>518</v>
      </c>
    </row>
    <row r="240" spans="1:40" s="379" customFormat="1" ht="21.75" thickBot="1" x14ac:dyDescent="0.4">
      <c r="A240" s="868" t="s">
        <v>80</v>
      </c>
      <c r="B240" s="869">
        <v>3348</v>
      </c>
      <c r="C240" s="923" t="s">
        <v>499</v>
      </c>
      <c r="D240" s="882" t="s">
        <v>500</v>
      </c>
      <c r="E240" s="672"/>
      <c r="F240" s="816"/>
      <c r="G240" s="816"/>
      <c r="H240" s="816"/>
      <c r="I240" s="672"/>
      <c r="J240" s="673"/>
      <c r="K240" s="674">
        <f>AB240-AL240</f>
        <v>0</v>
      </c>
      <c r="L240" s="662"/>
      <c r="M240" s="662"/>
      <c r="N240" s="662"/>
      <c r="O240" s="662"/>
      <c r="P240" s="662"/>
      <c r="Q240" s="662"/>
      <c r="R240" s="662"/>
      <c r="S240" s="662"/>
      <c r="T240" s="662"/>
      <c r="U240" s="855"/>
      <c r="V240" s="672"/>
      <c r="W240" s="672"/>
      <c r="X240" s="672"/>
      <c r="Y240" s="672"/>
      <c r="Z240" s="693"/>
      <c r="AA240" s="672"/>
      <c r="AB240" s="674">
        <v>1000000</v>
      </c>
      <c r="AC240" s="662"/>
      <c r="AD240" s="662"/>
      <c r="AE240" s="662"/>
      <c r="AF240" s="662"/>
      <c r="AG240" s="662"/>
      <c r="AH240" s="662"/>
      <c r="AI240" s="662"/>
      <c r="AJ240" s="662"/>
      <c r="AK240" s="768"/>
      <c r="AL240" s="676">
        <v>1000000</v>
      </c>
      <c r="AM240" s="676">
        <f>(V240+W240+X240+Y240+Z240+AB240+AC240+AD240+AE240+AF240+AG240+AH240+AI240+AJ240+AK240)-AL240</f>
        <v>0</v>
      </c>
      <c r="AN240" s="870" t="s">
        <v>531</v>
      </c>
    </row>
    <row r="241" spans="1:40" s="379" customFormat="1" ht="21.75" thickBot="1" x14ac:dyDescent="0.4">
      <c r="A241" s="377" t="s">
        <v>80</v>
      </c>
      <c r="B241" s="378">
        <v>3354</v>
      </c>
      <c r="C241" s="907" t="s">
        <v>509</v>
      </c>
      <c r="D241" s="908" t="s">
        <v>391</v>
      </c>
      <c r="E241" s="355"/>
      <c r="F241" s="821"/>
      <c r="G241" s="821"/>
      <c r="H241" s="821"/>
      <c r="I241" s="355"/>
      <c r="J241" s="351"/>
      <c r="K241" s="367"/>
      <c r="L241" s="487"/>
      <c r="M241" s="1117">
        <f>AD241-AL241</f>
        <v>0</v>
      </c>
      <c r="N241" s="487"/>
      <c r="O241" s="487"/>
      <c r="P241" s="487"/>
      <c r="Q241" s="487"/>
      <c r="R241" s="487"/>
      <c r="S241" s="487"/>
      <c r="T241" s="487"/>
      <c r="U241" s="855"/>
      <c r="V241" s="356"/>
      <c r="W241" s="356"/>
      <c r="X241" s="356"/>
      <c r="Y241" s="356"/>
      <c r="Z241" s="387"/>
      <c r="AA241" s="356"/>
      <c r="AB241" s="358"/>
      <c r="AC241" s="388"/>
      <c r="AD241" s="388">
        <v>20000</v>
      </c>
      <c r="AE241" s="388"/>
      <c r="AF241" s="388"/>
      <c r="AG241" s="388"/>
      <c r="AH241" s="388"/>
      <c r="AI241" s="388"/>
      <c r="AJ241" s="388"/>
      <c r="AK241" s="1120"/>
      <c r="AL241" s="436">
        <v>20000</v>
      </c>
      <c r="AM241" s="900">
        <f t="shared" ref="AM241" si="55">(V241+W241+X241+Y241+Z241+AB241+AC241+AD241+AE241+AF241+AG241+AH241+AI241+AJ241+AK241)-AL241</f>
        <v>0</v>
      </c>
      <c r="AN241" s="386" t="s">
        <v>565</v>
      </c>
    </row>
    <row r="242" spans="1:40" s="39" customFormat="1" ht="21.75" customHeight="1" thickBot="1" x14ac:dyDescent="0.4">
      <c r="A242" s="654" t="s">
        <v>80</v>
      </c>
      <c r="B242" s="653" t="s">
        <v>24</v>
      </c>
      <c r="C242" s="446"/>
      <c r="D242" s="447"/>
      <c r="E242" s="448">
        <f>SUM(E186:E241)</f>
        <v>58825</v>
      </c>
      <c r="F242" s="448">
        <f t="shared" ref="F242:I242" si="56">SUM(F186:F241)</f>
        <v>3000</v>
      </c>
      <c r="G242" s="448">
        <f>SUM(G186:G241)</f>
        <v>0</v>
      </c>
      <c r="H242" s="448">
        <f t="shared" si="56"/>
        <v>0</v>
      </c>
      <c r="I242" s="448">
        <f t="shared" si="56"/>
        <v>120</v>
      </c>
      <c r="J242" s="449">
        <f>SUM(J186:J241)</f>
        <v>3120</v>
      </c>
      <c r="K242" s="617">
        <f>SUM(K186:K241)</f>
        <v>0</v>
      </c>
      <c r="L242" s="448">
        <f t="shared" ref="L242:AK242" si="57">SUM(L186:L238)</f>
        <v>0</v>
      </c>
      <c r="M242" s="448">
        <f>SUM(M186:M241)</f>
        <v>0</v>
      </c>
      <c r="N242" s="448">
        <f>SUM(N186:N241)</f>
        <v>0</v>
      </c>
      <c r="O242" s="448">
        <f t="shared" si="57"/>
        <v>0</v>
      </c>
      <c r="P242" s="448">
        <f t="shared" si="57"/>
        <v>0</v>
      </c>
      <c r="Q242" s="448">
        <f t="shared" si="57"/>
        <v>0</v>
      </c>
      <c r="R242" s="448">
        <f t="shared" si="57"/>
        <v>0</v>
      </c>
      <c r="S242" s="448">
        <f t="shared" si="57"/>
        <v>0</v>
      </c>
      <c r="T242" s="448">
        <f t="shared" si="57"/>
        <v>0</v>
      </c>
      <c r="U242" s="855"/>
      <c r="V242" s="448">
        <f t="shared" si="57"/>
        <v>1705000</v>
      </c>
      <c r="W242" s="448">
        <f t="shared" si="57"/>
        <v>183510</v>
      </c>
      <c r="X242" s="448">
        <f t="shared" si="57"/>
        <v>163770</v>
      </c>
      <c r="Y242" s="448">
        <f t="shared" si="57"/>
        <v>145430</v>
      </c>
      <c r="Z242" s="448">
        <f t="shared" si="57"/>
        <v>180090</v>
      </c>
      <c r="AA242" s="449">
        <f t="shared" si="57"/>
        <v>273380</v>
      </c>
      <c r="AB242" s="448">
        <f>SUM(AB186:AB240)</f>
        <v>6388800</v>
      </c>
      <c r="AC242" s="448">
        <f t="shared" si="57"/>
        <v>450000</v>
      </c>
      <c r="AD242" s="448">
        <f>SUM(AD186:AD241)</f>
        <v>180000</v>
      </c>
      <c r="AE242" s="448">
        <f t="shared" si="57"/>
        <v>115468</v>
      </c>
      <c r="AF242" s="448">
        <f t="shared" si="57"/>
        <v>7152</v>
      </c>
      <c r="AG242" s="448">
        <f t="shared" si="57"/>
        <v>0</v>
      </c>
      <c r="AH242" s="448">
        <f t="shared" si="57"/>
        <v>150000</v>
      </c>
      <c r="AI242" s="448">
        <f t="shared" si="57"/>
        <v>0</v>
      </c>
      <c r="AJ242" s="448">
        <f t="shared" si="57"/>
        <v>0</v>
      </c>
      <c r="AK242" s="448">
        <f t="shared" si="57"/>
        <v>0</v>
      </c>
      <c r="AL242" s="468"/>
      <c r="AM242" s="617">
        <f>SUM(AM186:AM241)</f>
        <v>61945</v>
      </c>
      <c r="AN242" s="448"/>
    </row>
    <row r="243" spans="1:40" s="39" customFormat="1" ht="21.75" thickBot="1" x14ac:dyDescent="0.4">
      <c r="A243" s="787" t="s">
        <v>153</v>
      </c>
      <c r="B243" s="788"/>
      <c r="C243" s="788"/>
      <c r="D243" s="788"/>
      <c r="E243" s="429">
        <f>E242+E185+E137+E100+E58</f>
        <v>58825</v>
      </c>
      <c r="F243" s="429">
        <f t="shared" ref="F243:T243" si="58">F242+F185+F137+F100+F58</f>
        <v>108000</v>
      </c>
      <c r="G243" s="429">
        <f t="shared" si="58"/>
        <v>96000</v>
      </c>
      <c r="H243" s="429">
        <f t="shared" si="58"/>
        <v>2160</v>
      </c>
      <c r="I243" s="429">
        <f t="shared" si="58"/>
        <v>2280</v>
      </c>
      <c r="J243" s="435">
        <f t="shared" si="58"/>
        <v>208440</v>
      </c>
      <c r="K243" s="1068">
        <f t="shared" si="58"/>
        <v>168500</v>
      </c>
      <c r="L243" s="429">
        <f>L242+L185+L137+L100+L58</f>
        <v>0</v>
      </c>
      <c r="M243" s="429">
        <f t="shared" si="58"/>
        <v>22000</v>
      </c>
      <c r="N243" s="429">
        <f t="shared" si="58"/>
        <v>10000</v>
      </c>
      <c r="O243" s="429">
        <f t="shared" si="58"/>
        <v>0</v>
      </c>
      <c r="P243" s="429">
        <f t="shared" si="58"/>
        <v>0</v>
      </c>
      <c r="Q243" s="429">
        <f t="shared" si="58"/>
        <v>0</v>
      </c>
      <c r="R243" s="429">
        <f t="shared" si="58"/>
        <v>0</v>
      </c>
      <c r="S243" s="429">
        <f t="shared" si="58"/>
        <v>0</v>
      </c>
      <c r="T243" s="429">
        <f t="shared" si="58"/>
        <v>0</v>
      </c>
      <c r="U243" s="855"/>
      <c r="V243" s="429">
        <f t="shared" ref="V243:AK243" si="59">V242+V185+V137+V100+V58</f>
        <v>6605000</v>
      </c>
      <c r="W243" s="429">
        <f t="shared" si="59"/>
        <v>631270</v>
      </c>
      <c r="X243" s="429">
        <f t="shared" si="59"/>
        <v>676670</v>
      </c>
      <c r="Y243" s="429">
        <f t="shared" si="59"/>
        <v>558380</v>
      </c>
      <c r="Z243" s="429">
        <f t="shared" si="59"/>
        <v>649140</v>
      </c>
      <c r="AA243" s="435">
        <f t="shared" si="59"/>
        <v>1486970</v>
      </c>
      <c r="AB243" s="429">
        <f t="shared" si="59"/>
        <v>30953000</v>
      </c>
      <c r="AC243" s="429">
        <f t="shared" si="59"/>
        <v>2644800</v>
      </c>
      <c r="AD243" s="429">
        <f t="shared" si="59"/>
        <v>476000</v>
      </c>
      <c r="AE243" s="429">
        <f t="shared" si="59"/>
        <v>395468</v>
      </c>
      <c r="AF243" s="429">
        <f t="shared" si="59"/>
        <v>70164</v>
      </c>
      <c r="AG243" s="429">
        <f t="shared" si="59"/>
        <v>1760</v>
      </c>
      <c r="AH243" s="429">
        <f t="shared" si="59"/>
        <v>1073500</v>
      </c>
      <c r="AI243" s="429">
        <f t="shared" si="59"/>
        <v>0</v>
      </c>
      <c r="AJ243" s="429">
        <f t="shared" si="59"/>
        <v>0</v>
      </c>
      <c r="AK243" s="431">
        <f t="shared" si="59"/>
        <v>27144</v>
      </c>
      <c r="AL243" s="433"/>
      <c r="AM243" s="434"/>
      <c r="AN243" s="432"/>
    </row>
    <row r="244" spans="1:40" s="381" customFormat="1" ht="12" x14ac:dyDescent="0.2">
      <c r="A244" s="369"/>
      <c r="B244" s="370"/>
      <c r="C244" s="427"/>
      <c r="D244" s="427"/>
      <c r="E244" s="751"/>
      <c r="F244" s="825"/>
      <c r="G244" s="751"/>
      <c r="H244" s="751"/>
      <c r="I244" s="752"/>
      <c r="J244" s="753"/>
      <c r="K244" s="1069"/>
      <c r="L244" s="374"/>
      <c r="M244" s="374"/>
      <c r="N244" s="374"/>
      <c r="O244" s="374"/>
      <c r="P244" s="374"/>
      <c r="Q244" s="374"/>
      <c r="R244" s="374"/>
      <c r="S244" s="374"/>
      <c r="T244" s="374"/>
      <c r="U244" s="345"/>
      <c r="V244" s="371"/>
      <c r="W244" s="30"/>
      <c r="X244" s="30"/>
      <c r="Y244" s="30"/>
      <c r="Z244" s="372"/>
      <c r="AA244" s="373"/>
      <c r="AB244" s="345"/>
      <c r="AC244" s="374"/>
      <c r="AD244" s="374"/>
      <c r="AE244" s="374"/>
      <c r="AF244" s="374"/>
      <c r="AG244" s="374"/>
      <c r="AH244" s="374"/>
      <c r="AI244" s="374"/>
      <c r="AJ244" s="374"/>
      <c r="AK244" s="374"/>
      <c r="AL244" s="30"/>
      <c r="AM244" s="345"/>
      <c r="AN244" s="30"/>
    </row>
    <row r="245" spans="1:40" s="30" customFormat="1" ht="19.5" thickBot="1" x14ac:dyDescent="0.35">
      <c r="A245" s="262"/>
      <c r="B245" s="785" t="s">
        <v>224</v>
      </c>
      <c r="C245" s="786"/>
      <c r="D245" s="786"/>
      <c r="E245" s="786"/>
      <c r="F245" s="786"/>
      <c r="G245" s="786"/>
      <c r="H245" s="786"/>
      <c r="I245" s="786"/>
      <c r="J245" s="904"/>
      <c r="K245" s="1070"/>
      <c r="L245" s="786"/>
      <c r="M245" s="786"/>
      <c r="N245" s="786"/>
      <c r="O245" s="299"/>
      <c r="P245" s="299"/>
      <c r="Q245" s="299"/>
      <c r="R245" s="299"/>
      <c r="S245" s="299"/>
      <c r="T245" s="124"/>
      <c r="U245" s="298"/>
      <c r="V245"/>
      <c r="W245"/>
      <c r="X245"/>
      <c r="Y245" s="245"/>
      <c r="Z245" s="295"/>
      <c r="AA245" s="295"/>
      <c r="AB245" s="299"/>
      <c r="AC245" s="299"/>
      <c r="AD245" s="299"/>
      <c r="AE245" s="299"/>
      <c r="AF245" s="299"/>
      <c r="AG245" s="299"/>
      <c r="AH245" s="299"/>
      <c r="AI245" s="299"/>
      <c r="AJ245" s="299"/>
      <c r="AK245"/>
      <c r="AL245" s="124"/>
      <c r="AM245"/>
    </row>
    <row r="246" spans="1:40" s="350" customFormat="1" ht="15" customHeight="1" thickBot="1" x14ac:dyDescent="0.3">
      <c r="B246" s="779" t="s">
        <v>1</v>
      </c>
      <c r="C246" s="781" t="s">
        <v>110</v>
      </c>
      <c r="D246" s="783" t="s">
        <v>221</v>
      </c>
      <c r="E246" s="769" t="s">
        <v>30</v>
      </c>
      <c r="F246" s="833" t="s">
        <v>90</v>
      </c>
      <c r="G246" s="771" t="s">
        <v>91</v>
      </c>
      <c r="H246" s="771" t="s">
        <v>92</v>
      </c>
      <c r="I246" s="771" t="s">
        <v>93</v>
      </c>
      <c r="J246" s="774" t="s">
        <v>94</v>
      </c>
      <c r="K246" s="1053" t="s">
        <v>46</v>
      </c>
      <c r="L246" s="1059" t="s">
        <v>95</v>
      </c>
      <c r="M246" s="929" t="s">
        <v>97</v>
      </c>
      <c r="N246" s="927" t="s">
        <v>265</v>
      </c>
      <c r="O246" s="299"/>
      <c r="P246" s="299"/>
      <c r="Q246" s="299"/>
      <c r="R246" s="124"/>
      <c r="S246" s="298"/>
      <c r="T246"/>
      <c r="U246"/>
      <c r="V246"/>
      <c r="W246" s="245"/>
      <c r="X246" s="295"/>
      <c r="Y246" s="124"/>
      <c r="Z246" s="299"/>
      <c r="AA246" s="295"/>
      <c r="AB246" s="299"/>
      <c r="AC246" s="299"/>
      <c r="AD246" s="299"/>
      <c r="AE246" s="299"/>
      <c r="AF246" s="299"/>
      <c r="AG246" s="299"/>
      <c r="AH246" s="299"/>
      <c r="AI246"/>
      <c r="AJ246" s="124"/>
      <c r="AK246"/>
    </row>
    <row r="247" spans="1:40" s="403" customFormat="1" ht="16.5" thickTop="1" thickBot="1" x14ac:dyDescent="0.3">
      <c r="B247" s="780"/>
      <c r="C247" s="782"/>
      <c r="D247" s="784"/>
      <c r="E247" s="770"/>
      <c r="F247" s="834"/>
      <c r="G247" s="772"/>
      <c r="H247" s="772"/>
      <c r="I247" s="772"/>
      <c r="J247" s="775"/>
      <c r="K247" s="1054"/>
      <c r="L247" s="1060" t="s">
        <v>96</v>
      </c>
      <c r="M247" s="930" t="s">
        <v>95</v>
      </c>
      <c r="N247" s="928"/>
      <c r="O247" s="299"/>
      <c r="P247" s="299"/>
      <c r="Q247" s="299"/>
      <c r="R247" s="124"/>
      <c r="S247" s="298"/>
      <c r="T247"/>
      <c r="U247"/>
      <c r="V247"/>
      <c r="W247" s="245" t="s">
        <v>272</v>
      </c>
      <c r="X247" s="295"/>
      <c r="Y247" s="124"/>
      <c r="Z247" s="299"/>
      <c r="AA247" s="295"/>
      <c r="AB247" s="299"/>
      <c r="AC247" s="299"/>
      <c r="AD247" s="299"/>
      <c r="AE247" s="299"/>
      <c r="AF247" s="299"/>
      <c r="AG247" s="299"/>
      <c r="AH247" s="299"/>
      <c r="AI247"/>
      <c r="AJ247" s="124"/>
      <c r="AK247"/>
    </row>
    <row r="248" spans="1:40" s="403" customFormat="1" ht="30.75" thickTop="1" x14ac:dyDescent="0.25">
      <c r="B248" s="631" t="s">
        <v>25</v>
      </c>
      <c r="C248" s="631" t="s">
        <v>348</v>
      </c>
      <c r="D248" s="632" t="s">
        <v>199</v>
      </c>
      <c r="E248" s="271">
        <f>E42</f>
        <v>0</v>
      </c>
      <c r="F248" s="826">
        <f>F48</f>
        <v>0</v>
      </c>
      <c r="G248" s="257">
        <f>G47</f>
        <v>0</v>
      </c>
      <c r="H248" s="257">
        <f>H46</f>
        <v>0</v>
      </c>
      <c r="I248" s="257">
        <f>I45</f>
        <v>0</v>
      </c>
      <c r="J248" s="634">
        <f>SUM(F248:I248)</f>
        <v>0</v>
      </c>
      <c r="K248" s="272">
        <f>K19</f>
        <v>0</v>
      </c>
      <c r="L248" s="1061" t="s">
        <v>334</v>
      </c>
      <c r="M248" s="916" t="s">
        <v>336</v>
      </c>
      <c r="N248" s="761"/>
      <c r="O248" s="299"/>
      <c r="P248" s="1029"/>
      <c r="Q248" s="299"/>
      <c r="R248" s="299"/>
      <c r="S248" s="124"/>
      <c r="T248" s="298"/>
      <c r="U248"/>
      <c r="V248"/>
      <c r="W248"/>
      <c r="X248" s="245"/>
      <c r="Y248" s="295"/>
      <c r="Z248" s="124"/>
      <c r="AA248" s="295"/>
      <c r="AB248" s="299"/>
      <c r="AC248" s="299"/>
      <c r="AD248" s="299"/>
      <c r="AE248" s="299"/>
      <c r="AF248" s="299"/>
      <c r="AG248" s="299"/>
      <c r="AH248" s="299"/>
      <c r="AI248" s="299"/>
      <c r="AJ248"/>
      <c r="AK248" s="124"/>
      <c r="AL248"/>
    </row>
    <row r="249" spans="1:40" s="403" customFormat="1" x14ac:dyDescent="0.25">
      <c r="B249" s="631" t="s">
        <v>25</v>
      </c>
      <c r="C249" s="631">
        <v>167772269</v>
      </c>
      <c r="D249" s="632" t="s">
        <v>199</v>
      </c>
      <c r="E249" s="271"/>
      <c r="F249" s="826"/>
      <c r="G249" s="257"/>
      <c r="H249" s="257">
        <f>H22</f>
        <v>0</v>
      </c>
      <c r="I249" s="257">
        <f>I23</f>
        <v>0</v>
      </c>
      <c r="J249" s="634">
        <f>SUM(F249:I249)</f>
        <v>0</v>
      </c>
      <c r="K249" s="272"/>
      <c r="L249" s="934" t="s">
        <v>194</v>
      </c>
      <c r="M249" s="755" t="s">
        <v>188</v>
      </c>
      <c r="N249" s="761"/>
      <c r="O249" s="299"/>
      <c r="P249" s="1030"/>
      <c r="Q249" s="298"/>
      <c r="R249"/>
      <c r="S249"/>
      <c r="T249"/>
      <c r="U249" s="245"/>
      <c r="V249" s="295"/>
      <c r="W249" s="124"/>
      <c r="X249" s="299"/>
      <c r="Y249" s="299"/>
      <c r="Z249" s="299"/>
      <c r="AA249" s="295"/>
      <c r="AB249" s="299"/>
      <c r="AC249" s="299"/>
      <c r="AD249" s="299"/>
      <c r="AE249" s="299"/>
      <c r="AF249" s="299"/>
      <c r="AG249"/>
      <c r="AH249" s="124"/>
      <c r="AI249"/>
    </row>
    <row r="250" spans="1:40" s="379" customFormat="1" x14ac:dyDescent="0.25">
      <c r="B250" s="631" t="s">
        <v>25</v>
      </c>
      <c r="C250" s="631">
        <v>167772332</v>
      </c>
      <c r="D250" s="632" t="s">
        <v>200</v>
      </c>
      <c r="E250" s="271"/>
      <c r="F250" s="826">
        <v>0</v>
      </c>
      <c r="G250" s="257">
        <v>0</v>
      </c>
      <c r="H250" s="257">
        <v>0</v>
      </c>
      <c r="I250" s="257">
        <v>0</v>
      </c>
      <c r="J250" s="634">
        <f t="shared" ref="J250:J281" si="60">SUM(F250:I250)</f>
        <v>0</v>
      </c>
      <c r="K250" s="272">
        <f>K32</f>
        <v>0</v>
      </c>
      <c r="L250" s="934">
        <v>45279</v>
      </c>
      <c r="M250" s="755">
        <v>45381</v>
      </c>
      <c r="N250" s="761"/>
      <c r="O250" s="299"/>
      <c r="P250" s="299"/>
      <c r="Q250" s="299"/>
      <c r="R250" s="299"/>
      <c r="S250" s="124"/>
      <c r="T250" s="298"/>
      <c r="U250"/>
      <c r="V250"/>
      <c r="W250"/>
      <c r="X250" s="245"/>
      <c r="Y250" s="295"/>
      <c r="Z250" s="124"/>
      <c r="AA250" s="295"/>
      <c r="AB250" s="299"/>
      <c r="AC250" s="299"/>
      <c r="AD250" s="299"/>
      <c r="AE250" s="299"/>
      <c r="AF250" s="299"/>
      <c r="AG250" s="299"/>
      <c r="AH250" s="299"/>
      <c r="AI250" s="299"/>
      <c r="AJ250"/>
      <c r="AK250" s="124"/>
      <c r="AL250"/>
    </row>
    <row r="251" spans="1:40" s="379" customFormat="1" x14ac:dyDescent="0.25">
      <c r="B251" s="631" t="s">
        <v>25</v>
      </c>
      <c r="C251" s="260">
        <v>167772377</v>
      </c>
      <c r="D251" s="632" t="s">
        <v>200</v>
      </c>
      <c r="E251" s="271"/>
      <c r="F251" s="826">
        <f>F37</f>
        <v>0</v>
      </c>
      <c r="G251" s="257">
        <f>G38</f>
        <v>0</v>
      </c>
      <c r="H251" s="257">
        <f>H39</f>
        <v>2160</v>
      </c>
      <c r="I251" s="257">
        <f>I40</f>
        <v>2160</v>
      </c>
      <c r="J251" s="634">
        <f>SUM(F251:I251)</f>
        <v>4320</v>
      </c>
      <c r="K251" s="272"/>
      <c r="L251" s="931" t="s">
        <v>284</v>
      </c>
      <c r="M251" s="917" t="s">
        <v>285</v>
      </c>
      <c r="N251" s="793"/>
      <c r="O251" s="299"/>
      <c r="P251" s="299"/>
      <c r="Q251" s="299"/>
      <c r="R251" s="299"/>
      <c r="S251" s="124"/>
      <c r="T251" s="298"/>
      <c r="U251"/>
      <c r="V251"/>
      <c r="W251"/>
      <c r="X251" s="245"/>
      <c r="Y251" s="295"/>
      <c r="Z251" s="124"/>
      <c r="AA251" s="295"/>
      <c r="AB251" s="299"/>
      <c r="AC251" s="299"/>
      <c r="AD251" s="299"/>
      <c r="AE251" s="299"/>
      <c r="AF251" s="299"/>
      <c r="AG251" s="299"/>
      <c r="AH251" s="299"/>
      <c r="AI251" s="299"/>
      <c r="AJ251"/>
      <c r="AK251" s="124"/>
      <c r="AL251"/>
    </row>
    <row r="252" spans="1:40" s="379" customFormat="1" ht="15.75" thickBot="1" x14ac:dyDescent="0.3">
      <c r="B252" s="631" t="s">
        <v>25</v>
      </c>
      <c r="C252" s="260">
        <v>167772381</v>
      </c>
      <c r="D252" s="647" t="s">
        <v>200</v>
      </c>
      <c r="E252" s="794"/>
      <c r="F252" s="826"/>
      <c r="G252" s="257"/>
      <c r="H252" s="257"/>
      <c r="I252" s="257"/>
      <c r="J252" s="634"/>
      <c r="K252" s="838">
        <f>K41</f>
        <v>0</v>
      </c>
      <c r="L252" s="932" t="s">
        <v>257</v>
      </c>
      <c r="M252" s="837" t="s">
        <v>286</v>
      </c>
      <c r="N252" s="793"/>
      <c r="O252" s="299"/>
      <c r="P252" s="299"/>
      <c r="Q252" s="299"/>
      <c r="R252" s="299"/>
      <c r="S252" s="124"/>
      <c r="T252" s="298"/>
      <c r="U252"/>
      <c r="V252"/>
      <c r="W252"/>
      <c r="X252" s="245"/>
      <c r="Y252" s="295"/>
      <c r="Z252" s="124"/>
      <c r="AA252" s="295"/>
      <c r="AB252" s="299"/>
      <c r="AC252" s="299"/>
      <c r="AD252" s="299"/>
      <c r="AE252" s="299"/>
      <c r="AF252" s="299"/>
      <c r="AG252" s="299"/>
      <c r="AH252" s="299"/>
      <c r="AI252" s="299"/>
      <c r="AJ252"/>
      <c r="AK252" s="124"/>
      <c r="AL252"/>
    </row>
    <row r="253" spans="1:40" s="403" customFormat="1" ht="18" customHeight="1" thickBot="1" x14ac:dyDescent="0.3">
      <c r="B253" s="444" t="s">
        <v>25</v>
      </c>
      <c r="C253" s="445" t="s">
        <v>24</v>
      </c>
      <c r="D253" s="446"/>
      <c r="E253" s="448">
        <f t="shared" ref="E253:K253" si="61">SUM(E248:E252)</f>
        <v>0</v>
      </c>
      <c r="F253" s="820">
        <f t="shared" si="61"/>
        <v>0</v>
      </c>
      <c r="G253" s="820">
        <f t="shared" si="61"/>
        <v>0</v>
      </c>
      <c r="H253" s="820">
        <f t="shared" si="61"/>
        <v>2160</v>
      </c>
      <c r="I253" s="820">
        <f t="shared" si="61"/>
        <v>2160</v>
      </c>
      <c r="J253" s="835">
        <f t="shared" si="61"/>
        <v>4320</v>
      </c>
      <c r="K253" s="1071">
        <f t="shared" si="61"/>
        <v>0</v>
      </c>
      <c r="L253" s="933"/>
      <c r="M253" s="617"/>
      <c r="N253" s="448"/>
      <c r="O253" s="299"/>
      <c r="P253" s="299"/>
      <c r="Q253" s="299"/>
      <c r="R253" s="299"/>
      <c r="S253" s="124"/>
      <c r="T253" s="298"/>
      <c r="U253"/>
      <c r="V253"/>
      <c r="W253"/>
      <c r="X253" s="245"/>
      <c r="Y253" s="295"/>
      <c r="Z253" s="124"/>
      <c r="AA253" s="295"/>
      <c r="AB253" s="299"/>
      <c r="AC253" s="299"/>
      <c r="AD253" s="299"/>
      <c r="AE253" s="299"/>
      <c r="AF253" s="299"/>
      <c r="AG253" s="299"/>
      <c r="AH253" s="299"/>
      <c r="AI253" s="299"/>
      <c r="AJ253"/>
      <c r="AK253" s="124"/>
      <c r="AL253"/>
    </row>
    <row r="254" spans="1:40" s="30" customFormat="1" x14ac:dyDescent="0.25">
      <c r="B254" s="631" t="s">
        <v>26</v>
      </c>
      <c r="C254" s="631">
        <v>1024</v>
      </c>
      <c r="D254" s="632" t="s">
        <v>200</v>
      </c>
      <c r="E254" s="271">
        <f>E63</f>
        <v>0</v>
      </c>
      <c r="F254" s="826">
        <v>0</v>
      </c>
      <c r="G254" s="257">
        <v>0</v>
      </c>
      <c r="H254" s="257">
        <v>0</v>
      </c>
      <c r="I254" s="257">
        <v>0</v>
      </c>
      <c r="J254" s="634">
        <f t="shared" si="60"/>
        <v>0</v>
      </c>
      <c r="K254" s="272">
        <v>0</v>
      </c>
      <c r="L254" s="1062" t="s">
        <v>178</v>
      </c>
      <c r="M254" s="467" t="s">
        <v>179</v>
      </c>
      <c r="N254" s="761"/>
      <c r="O254" s="299"/>
      <c r="P254" s="299"/>
      <c r="Q254" s="299"/>
      <c r="R254" s="299"/>
      <c r="S254" s="124"/>
      <c r="T254" s="298"/>
      <c r="U254"/>
      <c r="V254"/>
      <c r="W254"/>
      <c r="X254" s="245"/>
      <c r="Y254" s="295"/>
      <c r="Z254" s="124"/>
      <c r="AA254" s="295"/>
      <c r="AB254" s="299"/>
      <c r="AC254" s="299"/>
      <c r="AD254" s="299"/>
      <c r="AE254" s="299"/>
      <c r="AF254" s="299"/>
      <c r="AG254" s="299"/>
      <c r="AH254" s="299"/>
      <c r="AI254" s="299"/>
      <c r="AJ254"/>
      <c r="AK254" s="124"/>
      <c r="AL254"/>
    </row>
    <row r="255" spans="1:40" s="30" customFormat="1" x14ac:dyDescent="0.25">
      <c r="B255" s="631" t="s">
        <v>26</v>
      </c>
      <c r="C255" s="631">
        <v>3212</v>
      </c>
      <c r="D255" s="632" t="s">
        <v>200</v>
      </c>
      <c r="E255" s="271"/>
      <c r="F255" s="826">
        <v>0</v>
      </c>
      <c r="G255" s="257">
        <f>G64</f>
        <v>0</v>
      </c>
      <c r="H255" s="257">
        <f>H65</f>
        <v>0</v>
      </c>
      <c r="I255" s="257">
        <f>I67</f>
        <v>0</v>
      </c>
      <c r="J255" s="634">
        <f>SUM(F255:I255)</f>
        <v>0</v>
      </c>
      <c r="K255" s="272">
        <v>0</v>
      </c>
      <c r="L255" s="934" t="s">
        <v>190</v>
      </c>
      <c r="M255" s="755" t="s">
        <v>188</v>
      </c>
      <c r="N255" s="761"/>
      <c r="O255" s="299"/>
      <c r="P255" s="299"/>
      <c r="Q255" s="299"/>
      <c r="R255" s="299"/>
      <c r="S255" s="124"/>
      <c r="T255" s="298"/>
      <c r="U255"/>
      <c r="V255"/>
      <c r="W255"/>
      <c r="X255" s="245"/>
      <c r="Y255" s="295"/>
      <c r="Z255" s="124"/>
      <c r="AA255" s="295"/>
      <c r="AB255" s="299"/>
      <c r="AC255" s="299"/>
      <c r="AD255" s="299"/>
      <c r="AE255" s="299"/>
      <c r="AF255" s="299"/>
      <c r="AG255" s="299"/>
      <c r="AH255" s="299"/>
      <c r="AI255" s="299"/>
      <c r="AJ255"/>
      <c r="AK255" s="124"/>
      <c r="AL255"/>
    </row>
    <row r="256" spans="1:40" s="30" customFormat="1" x14ac:dyDescent="0.25">
      <c r="B256" s="631" t="s">
        <v>26</v>
      </c>
      <c r="C256" s="631" t="s">
        <v>347</v>
      </c>
      <c r="D256" s="632" t="s">
        <v>199</v>
      </c>
      <c r="E256" s="271">
        <f>E91</f>
        <v>0</v>
      </c>
      <c r="F256" s="826" t="str">
        <f>F85</f>
        <v>-</v>
      </c>
      <c r="G256" s="257">
        <f>G86</f>
        <v>0</v>
      </c>
      <c r="H256" s="257" t="str">
        <f>H87</f>
        <v>-</v>
      </c>
      <c r="I256" s="257">
        <f>I88</f>
        <v>0</v>
      </c>
      <c r="J256" s="634">
        <f t="shared" si="60"/>
        <v>0</v>
      </c>
      <c r="K256" s="272">
        <f>K70</f>
        <v>0</v>
      </c>
      <c r="L256" s="1063" t="s">
        <v>334</v>
      </c>
      <c r="M256" s="916" t="s">
        <v>335</v>
      </c>
      <c r="N256" s="761"/>
      <c r="O256" s="763"/>
      <c r="P256" s="299"/>
      <c r="Q256" s="299"/>
      <c r="R256" s="299"/>
      <c r="S256" s="124"/>
      <c r="T256" s="298"/>
      <c r="U256"/>
      <c r="V256"/>
      <c r="W256"/>
      <c r="X256" s="245"/>
      <c r="Y256" s="295"/>
      <c r="Z256" s="124"/>
      <c r="AA256" s="295"/>
      <c r="AB256" s="299"/>
      <c r="AC256" s="299"/>
      <c r="AD256" s="299"/>
      <c r="AE256" s="299"/>
      <c r="AF256" s="299"/>
      <c r="AG256" s="299"/>
      <c r="AH256" s="299"/>
      <c r="AI256" s="299"/>
      <c r="AJ256"/>
      <c r="AK256" s="124"/>
      <c r="AL256"/>
    </row>
    <row r="257" spans="1:44" s="30" customFormat="1" x14ac:dyDescent="0.25">
      <c r="B257" s="631" t="s">
        <v>26</v>
      </c>
      <c r="C257" s="631">
        <v>3212</v>
      </c>
      <c r="D257" s="632" t="s">
        <v>200</v>
      </c>
      <c r="E257" s="271"/>
      <c r="F257" s="826"/>
      <c r="G257" s="257"/>
      <c r="H257" s="257">
        <f>H66</f>
        <v>0</v>
      </c>
      <c r="I257" s="257"/>
      <c r="J257" s="634">
        <f t="shared" si="60"/>
        <v>0</v>
      </c>
      <c r="K257" s="272"/>
      <c r="L257" s="934" t="s">
        <v>280</v>
      </c>
      <c r="M257" s="755" t="s">
        <v>281</v>
      </c>
      <c r="N257" s="762"/>
      <c r="O257" s="795" t="s">
        <v>282</v>
      </c>
      <c r="P257" s="299"/>
      <c r="Q257" s="299"/>
      <c r="R257" s="299"/>
      <c r="S257" s="124"/>
      <c r="T257" s="298"/>
      <c r="U257"/>
      <c r="V257"/>
      <c r="W257"/>
      <c r="X257" s="245"/>
      <c r="Y257" s="295"/>
      <c r="Z257" s="124"/>
      <c r="AA257" s="295"/>
      <c r="AB257" s="299"/>
      <c r="AC257" s="299"/>
      <c r="AD257" s="299"/>
      <c r="AE257" s="299"/>
      <c r="AF257" s="299"/>
      <c r="AG257" s="299"/>
      <c r="AH257" s="299"/>
      <c r="AI257" s="299"/>
      <c r="AJ257"/>
      <c r="AK257" s="124"/>
      <c r="AL257"/>
    </row>
    <row r="258" spans="1:44" s="30" customFormat="1" x14ac:dyDescent="0.25">
      <c r="B258" s="631" t="s">
        <v>26</v>
      </c>
      <c r="C258" s="631">
        <v>3305</v>
      </c>
      <c r="D258" s="632" t="s">
        <v>228</v>
      </c>
      <c r="E258" s="257"/>
      <c r="F258" s="826"/>
      <c r="G258" s="257"/>
      <c r="H258" s="257"/>
      <c r="I258" s="257"/>
      <c r="J258" s="634">
        <f t="shared" si="60"/>
        <v>0</v>
      </c>
      <c r="K258" s="272">
        <f>K80</f>
        <v>0</v>
      </c>
      <c r="L258" s="934">
        <v>45322</v>
      </c>
      <c r="M258" s="655">
        <v>45412</v>
      </c>
      <c r="N258" s="761"/>
      <c r="O258" s="299"/>
      <c r="P258" s="299"/>
      <c r="Q258" s="299"/>
      <c r="R258" s="299"/>
      <c r="S258" s="124"/>
      <c r="T258" s="298"/>
      <c r="U258"/>
      <c r="V258"/>
      <c r="W258"/>
      <c r="X258" s="245"/>
      <c r="Y258" s="295"/>
      <c r="Z258" s="124"/>
      <c r="AA258" s="295"/>
      <c r="AB258" s="299"/>
      <c r="AC258" s="299"/>
      <c r="AD258" s="299"/>
      <c r="AE258" s="299"/>
      <c r="AF258" s="299"/>
      <c r="AG258" s="299"/>
      <c r="AH258" s="299"/>
      <c r="AI258" s="299"/>
      <c r="AJ258"/>
      <c r="AK258" s="124"/>
      <c r="AL258"/>
    </row>
    <row r="259" spans="1:44" s="30" customFormat="1" x14ac:dyDescent="0.25">
      <c r="B259" s="631" t="s">
        <v>26</v>
      </c>
      <c r="C259" s="809">
        <v>3325</v>
      </c>
      <c r="D259" s="632" t="s">
        <v>200</v>
      </c>
      <c r="E259" s="257"/>
      <c r="F259" s="826">
        <f>F81</f>
        <v>0</v>
      </c>
      <c r="G259" s="257">
        <f>G82</f>
        <v>0</v>
      </c>
      <c r="H259" s="257">
        <f>H83</f>
        <v>0</v>
      </c>
      <c r="I259" s="257">
        <f>I84</f>
        <v>0</v>
      </c>
      <c r="J259" s="634">
        <f t="shared" si="60"/>
        <v>0</v>
      </c>
      <c r="K259" s="272"/>
      <c r="L259" s="934" t="s">
        <v>284</v>
      </c>
      <c r="M259" s="655" t="s">
        <v>285</v>
      </c>
      <c r="N259" s="793"/>
      <c r="O259" s="299"/>
      <c r="P259" s="299"/>
      <c r="Q259" s="299"/>
      <c r="R259" s="299"/>
      <c r="S259" s="124"/>
      <c r="T259" s="298"/>
      <c r="U259"/>
      <c r="V259"/>
      <c r="W259"/>
      <c r="X259" s="245"/>
      <c r="Y259" s="295"/>
      <c r="Z259" s="124"/>
      <c r="AA259" s="295"/>
      <c r="AB259" s="299"/>
      <c r="AC259" s="299"/>
      <c r="AD259" s="299"/>
      <c r="AE259" s="299"/>
      <c r="AF259" s="299"/>
      <c r="AG259" s="299"/>
      <c r="AH259" s="299"/>
      <c r="AI259" s="299"/>
      <c r="AJ259"/>
      <c r="AK259" s="124"/>
      <c r="AL259"/>
    </row>
    <row r="260" spans="1:44" s="30" customFormat="1" ht="15.75" thickBot="1" x14ac:dyDescent="0.3">
      <c r="B260" s="631" t="s">
        <v>26</v>
      </c>
      <c r="C260" s="809">
        <v>3325</v>
      </c>
      <c r="D260" s="647" t="s">
        <v>200</v>
      </c>
      <c r="E260" s="257"/>
      <c r="F260" s="826"/>
      <c r="G260" s="257"/>
      <c r="H260" s="257">
        <f>H92</f>
        <v>0</v>
      </c>
      <c r="I260" s="257"/>
      <c r="J260" s="634">
        <f>SUM(F260:I260)</f>
        <v>0</v>
      </c>
      <c r="K260" s="272"/>
      <c r="L260" s="934" t="s">
        <v>382</v>
      </c>
      <c r="M260" s="655" t="s">
        <v>363</v>
      </c>
      <c r="N260" s="793"/>
      <c r="O260" s="299"/>
      <c r="P260" s="299"/>
      <c r="Q260" s="299"/>
      <c r="R260" s="299"/>
      <c r="S260" s="124"/>
      <c r="T260" s="298"/>
      <c r="U260"/>
      <c r="V260"/>
      <c r="W260"/>
      <c r="X260" s="245"/>
      <c r="Y260" s="295"/>
      <c r="Z260" s="124"/>
      <c r="AA260" s="295"/>
      <c r="AB260" s="299"/>
      <c r="AC260" s="299"/>
      <c r="AD260" s="299"/>
      <c r="AE260" s="299"/>
      <c r="AF260" s="299"/>
      <c r="AG260" s="299"/>
      <c r="AH260" s="299"/>
      <c r="AI260" s="299"/>
      <c r="AJ260"/>
      <c r="AK260" s="124"/>
      <c r="AL260"/>
    </row>
    <row r="261" spans="1:44" s="30" customFormat="1" ht="15.75" thickBot="1" x14ac:dyDescent="0.3">
      <c r="B261" s="444" t="s">
        <v>26</v>
      </c>
      <c r="C261" s="445" t="s">
        <v>24</v>
      </c>
      <c r="D261" s="446"/>
      <c r="E261" s="448">
        <f t="shared" ref="E261:K261" si="62">SUM(E254:E260)</f>
        <v>0</v>
      </c>
      <c r="F261" s="448">
        <f t="shared" si="62"/>
        <v>0</v>
      </c>
      <c r="G261" s="448">
        <f t="shared" si="62"/>
        <v>0</v>
      </c>
      <c r="H261" s="448">
        <f t="shared" si="62"/>
        <v>0</v>
      </c>
      <c r="I261" s="448">
        <f t="shared" si="62"/>
        <v>0</v>
      </c>
      <c r="J261" s="449">
        <f t="shared" si="62"/>
        <v>0</v>
      </c>
      <c r="K261" s="617">
        <f t="shared" si="62"/>
        <v>0</v>
      </c>
      <c r="L261" s="933"/>
      <c r="M261" s="448"/>
      <c r="N261" s="448"/>
      <c r="O261" s="299"/>
      <c r="P261" s="299"/>
      <c r="Q261" s="299"/>
      <c r="R261" s="299"/>
      <c r="S261" s="124"/>
      <c r="T261" s="298"/>
      <c r="U261"/>
      <c r="V261"/>
      <c r="W261"/>
      <c r="X261" s="245"/>
      <c r="Y261" s="295"/>
      <c r="Z261" s="124"/>
      <c r="AA261" s="295"/>
      <c r="AB261" s="299"/>
      <c r="AC261" s="299"/>
      <c r="AD261" s="299"/>
      <c r="AE261" s="299"/>
      <c r="AF261" s="299"/>
      <c r="AG261" s="299"/>
      <c r="AH261" s="299"/>
      <c r="AI261" s="299"/>
      <c r="AJ261"/>
      <c r="AK261" s="124"/>
      <c r="AL261"/>
    </row>
    <row r="262" spans="1:44" s="379" customFormat="1" x14ac:dyDescent="0.25">
      <c r="B262" s="631" t="s">
        <v>27</v>
      </c>
      <c r="C262" s="631">
        <v>4018</v>
      </c>
      <c r="D262" s="632" t="s">
        <v>200</v>
      </c>
      <c r="E262" s="271">
        <f>E103</f>
        <v>0</v>
      </c>
      <c r="F262" s="826">
        <v>0</v>
      </c>
      <c r="G262" s="257">
        <v>0</v>
      </c>
      <c r="H262" s="257">
        <v>0</v>
      </c>
      <c r="I262" s="257">
        <v>0</v>
      </c>
      <c r="J262" s="634">
        <f>SUM(F262:I262)</f>
        <v>0</v>
      </c>
      <c r="K262" s="272">
        <v>0</v>
      </c>
      <c r="L262" s="1064" t="s">
        <v>164</v>
      </c>
      <c r="M262" s="756" t="s">
        <v>165</v>
      </c>
      <c r="N262" s="761"/>
      <c r="O262" s="299"/>
      <c r="P262" s="299"/>
      <c r="Q262" s="299"/>
      <c r="R262" s="299"/>
      <c r="S262" s="124"/>
      <c r="T262" s="298"/>
      <c r="U262"/>
      <c r="V262"/>
      <c r="W262"/>
      <c r="X262" s="245"/>
      <c r="Y262" s="295"/>
      <c r="Z262" s="124"/>
      <c r="AA262" s="295"/>
      <c r="AB262" s="299"/>
      <c r="AC262" s="299"/>
      <c r="AD262" s="299"/>
      <c r="AE262" s="299"/>
      <c r="AF262" s="299"/>
      <c r="AG262" s="299"/>
      <c r="AH262" s="299"/>
      <c r="AI262" s="299"/>
      <c r="AJ262"/>
      <c r="AK262" s="124"/>
      <c r="AL262"/>
      <c r="AM262" s="30"/>
    </row>
    <row r="263" spans="1:44" s="379" customFormat="1" x14ac:dyDescent="0.25">
      <c r="B263" s="631" t="s">
        <v>27</v>
      </c>
      <c r="C263" s="631" t="s">
        <v>349</v>
      </c>
      <c r="D263" s="632" t="s">
        <v>199</v>
      </c>
      <c r="E263" s="271">
        <v>125000</v>
      </c>
      <c r="F263" s="826">
        <f>F123</f>
        <v>0</v>
      </c>
      <c r="G263" s="257">
        <f>G124</f>
        <v>0</v>
      </c>
      <c r="H263" s="257">
        <f>H125</f>
        <v>0</v>
      </c>
      <c r="I263" s="257">
        <f>I126</f>
        <v>0</v>
      </c>
      <c r="J263" s="634">
        <f>SUM(F263:I263)</f>
        <v>0</v>
      </c>
      <c r="K263" s="272">
        <f>K107</f>
        <v>0</v>
      </c>
      <c r="L263" s="1065" t="s">
        <v>334</v>
      </c>
      <c r="M263" s="918" t="s">
        <v>335</v>
      </c>
      <c r="N263" s="761"/>
      <c r="O263" s="299"/>
      <c r="P263" s="299"/>
      <c r="Q263" s="299"/>
      <c r="R263" s="299"/>
      <c r="S263" s="124"/>
      <c r="T263" s="298"/>
      <c r="U263"/>
      <c r="V263"/>
      <c r="W263"/>
      <c r="X263" s="245"/>
      <c r="Y263" s="295"/>
      <c r="Z263" s="124"/>
      <c r="AA263" s="295"/>
      <c r="AB263" s="299"/>
      <c r="AC263" s="299"/>
      <c r="AD263" s="299"/>
      <c r="AE263" s="299"/>
      <c r="AF263" s="299"/>
      <c r="AG263" s="299"/>
      <c r="AH263" s="299"/>
      <c r="AI263" s="299"/>
      <c r="AJ263"/>
      <c r="AK263" s="124"/>
      <c r="AL263"/>
      <c r="AM263" s="30"/>
    </row>
    <row r="264" spans="1:44" s="379" customFormat="1" x14ac:dyDescent="0.25">
      <c r="A264" s="262"/>
      <c r="B264" s="764" t="s">
        <v>27</v>
      </c>
      <c r="C264" s="764">
        <v>4149</v>
      </c>
      <c r="D264" s="646" t="s">
        <v>199</v>
      </c>
      <c r="E264" s="636"/>
      <c r="F264" s="827"/>
      <c r="G264" s="557"/>
      <c r="H264" s="557"/>
      <c r="I264" s="637"/>
      <c r="J264" s="634">
        <f t="shared" si="60"/>
        <v>0</v>
      </c>
      <c r="K264" s="272">
        <f>K116</f>
        <v>0</v>
      </c>
      <c r="L264" s="1066" t="s">
        <v>205</v>
      </c>
      <c r="M264" s="757" t="s">
        <v>204</v>
      </c>
      <c r="N264" s="919" t="s">
        <v>268</v>
      </c>
      <c r="O264" s="766" t="s">
        <v>250</v>
      </c>
      <c r="P264" s="299"/>
      <c r="Q264" s="299"/>
      <c r="R264" s="299"/>
      <c r="S264" s="299"/>
      <c r="T264" s="124"/>
      <c r="U264" s="298"/>
      <c r="V264"/>
      <c r="W264"/>
      <c r="X264"/>
      <c r="Y264" s="245"/>
      <c r="Z264" s="295"/>
      <c r="AA264" s="295"/>
      <c r="AB264" s="299"/>
      <c r="AC264" s="299"/>
      <c r="AD264" s="299"/>
      <c r="AE264" s="299"/>
      <c r="AF264" s="299"/>
      <c r="AG264" s="299"/>
      <c r="AH264" s="299"/>
      <c r="AI264" s="299"/>
      <c r="AJ264" s="299"/>
      <c r="AK264"/>
      <c r="AL264" s="124"/>
      <c r="AM264"/>
      <c r="AN264" s="30"/>
    </row>
    <row r="265" spans="1:44" s="123" customFormat="1" ht="15.75" thickBot="1" x14ac:dyDescent="0.3">
      <c r="A265" s="262"/>
      <c r="B265" s="765" t="s">
        <v>27</v>
      </c>
      <c r="C265" s="765">
        <v>4179</v>
      </c>
      <c r="D265" s="647" t="s">
        <v>200</v>
      </c>
      <c r="E265" s="559"/>
      <c r="F265" s="828">
        <f>F119</f>
        <v>0</v>
      </c>
      <c r="G265" s="559">
        <f>G120</f>
        <v>0</v>
      </c>
      <c r="H265" s="559">
        <f>H121</f>
        <v>0</v>
      </c>
      <c r="I265" s="810">
        <f>I122</f>
        <v>0</v>
      </c>
      <c r="J265" s="634">
        <f>SUM(F265:I265)</f>
        <v>0</v>
      </c>
      <c r="K265" s="1072"/>
      <c r="L265" s="935" t="s">
        <v>284</v>
      </c>
      <c r="M265" s="758" t="s">
        <v>285</v>
      </c>
      <c r="N265" s="793"/>
      <c r="O265" s="299"/>
      <c r="P265" s="299"/>
      <c r="Q265" s="299"/>
      <c r="R265" s="299"/>
      <c r="S265" s="299"/>
      <c r="T265" s="124"/>
      <c r="U265" s="298"/>
      <c r="V265"/>
      <c r="W265"/>
      <c r="X265"/>
      <c r="Y265" s="245"/>
      <c r="Z265" s="295"/>
      <c r="AA265" s="295"/>
      <c r="AB265" s="299"/>
      <c r="AC265" s="299"/>
      <c r="AD265" s="299"/>
      <c r="AE265" s="299"/>
      <c r="AF265" s="299"/>
      <c r="AG265" s="299"/>
      <c r="AH265" s="299"/>
      <c r="AI265" s="299"/>
      <c r="AJ265" s="299"/>
      <c r="AK265"/>
      <c r="AL265" s="124"/>
      <c r="AM265"/>
      <c r="AN265" s="1296"/>
      <c r="AO265" s="1297"/>
      <c r="AP265" s="1297"/>
      <c r="AQ265" s="1297"/>
      <c r="AR265" s="527"/>
    </row>
    <row r="266" spans="1:44" s="30" customFormat="1" ht="15.75" thickBot="1" x14ac:dyDescent="0.3">
      <c r="A266" s="262"/>
      <c r="B266" s="444" t="s">
        <v>27</v>
      </c>
      <c r="C266" s="445" t="s">
        <v>24</v>
      </c>
      <c r="D266" s="446"/>
      <c r="E266" s="448">
        <f t="shared" ref="E266:K266" si="63">SUM(E262:E265)</f>
        <v>125000</v>
      </c>
      <c r="F266" s="820">
        <f t="shared" si="63"/>
        <v>0</v>
      </c>
      <c r="G266" s="448">
        <f t="shared" si="63"/>
        <v>0</v>
      </c>
      <c r="H266" s="448">
        <f t="shared" si="63"/>
        <v>0</v>
      </c>
      <c r="I266" s="448">
        <f t="shared" si="63"/>
        <v>0</v>
      </c>
      <c r="J266" s="449">
        <f t="shared" si="63"/>
        <v>0</v>
      </c>
      <c r="K266" s="617">
        <f t="shared" si="63"/>
        <v>0</v>
      </c>
      <c r="L266" s="933"/>
      <c r="M266" s="448"/>
      <c r="N266" s="448"/>
      <c r="O266" s="299"/>
      <c r="P266" s="299"/>
      <c r="Q266" s="299"/>
      <c r="R266" s="299"/>
      <c r="S266" s="299"/>
      <c r="T266" s="124"/>
      <c r="U266" s="298"/>
      <c r="V266"/>
      <c r="W266"/>
      <c r="X266"/>
      <c r="Y266" s="245"/>
      <c r="Z266" s="295"/>
      <c r="AA266" s="295"/>
      <c r="AB266" s="299"/>
      <c r="AC266" s="299"/>
      <c r="AD266" s="299"/>
      <c r="AE266" s="299"/>
      <c r="AF266" s="299"/>
      <c r="AG266" s="299"/>
      <c r="AH266" s="299"/>
      <c r="AI266" s="299"/>
      <c r="AJ266" s="299"/>
      <c r="AK266"/>
      <c r="AL266" s="124"/>
      <c r="AM266"/>
      <c r="AN266" s="1296"/>
      <c r="AO266" s="1297"/>
      <c r="AP266" s="1297"/>
      <c r="AQ266" s="1297"/>
      <c r="AR266" s="527"/>
    </row>
    <row r="267" spans="1:44" s="30" customFormat="1" x14ac:dyDescent="0.25">
      <c r="A267" s="262"/>
      <c r="B267" s="640" t="s">
        <v>28</v>
      </c>
      <c r="C267" s="641">
        <v>3259</v>
      </c>
      <c r="D267" s="642" t="s">
        <v>199</v>
      </c>
      <c r="E267" s="638"/>
      <c r="F267" s="829">
        <f>F148</f>
        <v>105000</v>
      </c>
      <c r="G267" s="638">
        <f>G149</f>
        <v>96000</v>
      </c>
      <c r="H267" s="638"/>
      <c r="I267" s="639"/>
      <c r="J267" s="634">
        <f t="shared" si="60"/>
        <v>201000</v>
      </c>
      <c r="K267" s="750">
        <f>K147</f>
        <v>0</v>
      </c>
      <c r="L267" s="937" t="s">
        <v>194</v>
      </c>
      <c r="M267" s="759" t="s">
        <v>188</v>
      </c>
      <c r="N267" s="761"/>
      <c r="O267" s="299"/>
      <c r="P267" s="299"/>
      <c r="Q267" s="299"/>
      <c r="R267" s="299"/>
      <c r="S267" s="299"/>
      <c r="T267" s="124"/>
      <c r="U267" s="298"/>
      <c r="V267"/>
      <c r="W267"/>
      <c r="X267"/>
      <c r="Y267" s="245"/>
      <c r="Z267" s="295"/>
      <c r="AA267" s="295"/>
      <c r="AB267" s="299"/>
      <c r="AC267" s="299"/>
      <c r="AD267" s="299"/>
      <c r="AE267" s="299"/>
      <c r="AF267" s="299"/>
      <c r="AG267" s="299"/>
      <c r="AH267" s="299"/>
      <c r="AI267" s="299"/>
      <c r="AJ267" s="299"/>
      <c r="AK267"/>
      <c r="AL267" s="124"/>
      <c r="AM267"/>
      <c r="AO267" s="123"/>
      <c r="AP267" s="123"/>
      <c r="AQ267" s="123"/>
    </row>
    <row r="268" spans="1:44" s="389" customFormat="1" x14ac:dyDescent="0.25">
      <c r="A268" s="262"/>
      <c r="B268" s="643" t="s">
        <v>28</v>
      </c>
      <c r="C268" s="641">
        <v>3260</v>
      </c>
      <c r="D268" s="642" t="s">
        <v>199</v>
      </c>
      <c r="E268" s="638"/>
      <c r="F268" s="829"/>
      <c r="G268" s="638"/>
      <c r="H268" s="638">
        <f>H151</f>
        <v>0</v>
      </c>
      <c r="I268" s="188">
        <f>I150</f>
        <v>0</v>
      </c>
      <c r="J268" s="634">
        <f>SUM(F268:I268)</f>
        <v>0</v>
      </c>
      <c r="K268" s="750"/>
      <c r="L268" s="937" t="s">
        <v>194</v>
      </c>
      <c r="M268" s="759" t="s">
        <v>188</v>
      </c>
      <c r="N268" s="761"/>
      <c r="O268" s="299"/>
      <c r="P268" s="299"/>
      <c r="Q268" s="299"/>
      <c r="R268" s="299"/>
      <c r="S268" s="299"/>
      <c r="T268" s="124"/>
      <c r="U268" s="298"/>
      <c r="V268"/>
      <c r="W268"/>
      <c r="X268"/>
      <c r="Y268" s="245"/>
      <c r="Z268" s="295"/>
      <c r="AA268" s="295"/>
      <c r="AB268" s="299"/>
      <c r="AC268" s="299"/>
      <c r="AD268" s="299"/>
      <c r="AE268" s="299"/>
      <c r="AF268" s="299"/>
      <c r="AG268" s="299"/>
      <c r="AH268" s="299"/>
      <c r="AI268" s="299"/>
      <c r="AJ268" s="299"/>
      <c r="AK268"/>
      <c r="AL268" s="124"/>
      <c r="AM268"/>
      <c r="AO268" s="123"/>
      <c r="AP268" s="123"/>
      <c r="AQ268" s="123"/>
      <c r="AR268" s="378"/>
    </row>
    <row r="269" spans="1:44" s="389" customFormat="1" x14ac:dyDescent="0.25">
      <c r="A269" s="262"/>
      <c r="B269" s="640" t="s">
        <v>28</v>
      </c>
      <c r="C269" s="644">
        <v>3303</v>
      </c>
      <c r="D269" s="648" t="s">
        <v>200</v>
      </c>
      <c r="E269" s="638"/>
      <c r="F269" s="829"/>
      <c r="G269" s="638"/>
      <c r="H269" s="638"/>
      <c r="I269" s="639"/>
      <c r="J269" s="634">
        <f t="shared" si="60"/>
        <v>0</v>
      </c>
      <c r="K269" s="750">
        <f>K160</f>
        <v>0</v>
      </c>
      <c r="L269" s="937" t="s">
        <v>220</v>
      </c>
      <c r="M269" s="759" t="s">
        <v>208</v>
      </c>
      <c r="N269" s="761"/>
      <c r="O269" s="299"/>
      <c r="P269" s="299"/>
      <c r="Q269" s="299"/>
      <c r="R269" s="299"/>
      <c r="S269" s="299"/>
      <c r="T269" s="124"/>
      <c r="U269" s="298"/>
      <c r="V269"/>
      <c r="W269"/>
      <c r="X269"/>
      <c r="Y269" s="245"/>
      <c r="Z269" s="295"/>
      <c r="AA269" s="295"/>
      <c r="AB269" s="299"/>
      <c r="AC269" s="299"/>
      <c r="AD269" s="299"/>
      <c r="AE269" s="299"/>
      <c r="AF269" s="299"/>
      <c r="AG269" s="299"/>
      <c r="AH269" s="299"/>
      <c r="AI269" s="299"/>
      <c r="AJ269" s="299"/>
      <c r="AK269"/>
      <c r="AL269" s="124"/>
      <c r="AM269"/>
      <c r="AO269" s="123"/>
      <c r="AP269" s="123"/>
      <c r="AQ269" s="123"/>
      <c r="AR269" s="378"/>
    </row>
    <row r="270" spans="1:44" s="389" customFormat="1" x14ac:dyDescent="0.25">
      <c r="A270" s="262"/>
      <c r="B270" s="640" t="s">
        <v>28</v>
      </c>
      <c r="C270" s="644" t="s">
        <v>350</v>
      </c>
      <c r="D270" s="648" t="s">
        <v>199</v>
      </c>
      <c r="E270" s="638">
        <f>E168</f>
        <v>0</v>
      </c>
      <c r="F270" s="829">
        <f>F174</f>
        <v>0</v>
      </c>
      <c r="G270" s="829">
        <f>G173</f>
        <v>0</v>
      </c>
      <c r="H270" s="829">
        <f>H172</f>
        <v>0</v>
      </c>
      <c r="I270" s="829">
        <f>I171</f>
        <v>0</v>
      </c>
      <c r="J270" s="634">
        <f t="shared" si="60"/>
        <v>0</v>
      </c>
      <c r="K270" s="750">
        <f>K161</f>
        <v>0</v>
      </c>
      <c r="L270" s="936" t="s">
        <v>334</v>
      </c>
      <c r="M270" s="920" t="s">
        <v>335</v>
      </c>
      <c r="N270" s="761"/>
      <c r="O270" s="299"/>
      <c r="P270" s="299"/>
      <c r="Q270" s="299"/>
      <c r="R270" s="299"/>
      <c r="S270" s="299"/>
      <c r="T270" s="124"/>
      <c r="U270" s="298"/>
      <c r="V270"/>
      <c r="W270"/>
      <c r="X270"/>
      <c r="Y270" s="245"/>
      <c r="Z270" s="295"/>
      <c r="AA270" s="295"/>
      <c r="AB270" s="299"/>
      <c r="AC270" s="299"/>
      <c r="AD270" s="299"/>
      <c r="AE270" s="299"/>
      <c r="AF270" s="299"/>
      <c r="AG270" s="299"/>
      <c r="AH270" s="299"/>
      <c r="AI270" s="299"/>
      <c r="AJ270" s="299"/>
      <c r="AK270"/>
      <c r="AL270" s="124"/>
      <c r="AM270"/>
      <c r="AO270" s="123"/>
      <c r="AP270" s="123"/>
      <c r="AQ270" s="123"/>
      <c r="AR270" s="378"/>
    </row>
    <row r="271" spans="1:44" s="389" customFormat="1" x14ac:dyDescent="0.25">
      <c r="A271" s="262"/>
      <c r="B271" s="640" t="s">
        <v>28</v>
      </c>
      <c r="C271" s="644">
        <v>3323</v>
      </c>
      <c r="D271" s="648" t="s">
        <v>199</v>
      </c>
      <c r="E271" s="638"/>
      <c r="F271" s="829"/>
      <c r="G271" s="638"/>
      <c r="H271" s="638"/>
      <c r="I271" s="639"/>
      <c r="J271" s="634">
        <f t="shared" si="60"/>
        <v>0</v>
      </c>
      <c r="K271" s="750">
        <f>K162</f>
        <v>0</v>
      </c>
      <c r="L271" s="937">
        <v>45323</v>
      </c>
      <c r="M271" s="754">
        <v>45442</v>
      </c>
      <c r="N271" s="761"/>
      <c r="O271" s="299"/>
      <c r="P271" s="299"/>
      <c r="Q271" s="299"/>
      <c r="R271" s="299"/>
      <c r="S271" s="299"/>
      <c r="T271" s="124"/>
      <c r="U271" s="298"/>
      <c r="V271"/>
      <c r="W271"/>
      <c r="X271"/>
      <c r="Y271" s="245"/>
      <c r="Z271" s="295"/>
      <c r="AA271" s="295"/>
      <c r="AB271" s="299"/>
      <c r="AC271" s="299"/>
      <c r="AD271" s="299"/>
      <c r="AE271" s="299"/>
      <c r="AF271" s="299"/>
      <c r="AG271" s="299"/>
      <c r="AH271" s="299"/>
      <c r="AI271" s="299"/>
      <c r="AJ271" s="299"/>
      <c r="AK271"/>
      <c r="AL271" s="124"/>
      <c r="AM271"/>
      <c r="AO271" s="123"/>
      <c r="AP271" s="123"/>
      <c r="AQ271" s="123"/>
      <c r="AR271" s="378"/>
    </row>
    <row r="272" spans="1:44" s="389" customFormat="1" x14ac:dyDescent="0.25">
      <c r="A272" s="262"/>
      <c r="B272" s="640" t="s">
        <v>28</v>
      </c>
      <c r="C272" s="644">
        <v>3330</v>
      </c>
      <c r="D272" s="646" t="s">
        <v>200</v>
      </c>
      <c r="E272" s="638"/>
      <c r="F272" s="829"/>
      <c r="G272" s="638"/>
      <c r="H272" s="638"/>
      <c r="I272" s="639"/>
      <c r="J272" s="634">
        <f t="shared" si="60"/>
        <v>0</v>
      </c>
      <c r="K272" s="750">
        <f>K163</f>
        <v>0</v>
      </c>
      <c r="L272" s="937" t="s">
        <v>278</v>
      </c>
      <c r="M272" s="754" t="s">
        <v>275</v>
      </c>
      <c r="N272" s="793"/>
      <c r="O272" s="299" t="s">
        <v>33</v>
      </c>
      <c r="P272" s="299"/>
      <c r="Q272" s="299"/>
      <c r="R272" s="299"/>
      <c r="S272" s="299"/>
      <c r="T272" s="124"/>
      <c r="U272" s="298"/>
      <c r="V272"/>
      <c r="W272"/>
      <c r="X272"/>
      <c r="Y272" s="245"/>
      <c r="Z272" s="295"/>
      <c r="AA272" s="295"/>
      <c r="AB272" s="299"/>
      <c r="AC272" s="299"/>
      <c r="AD272" s="299"/>
      <c r="AE272" s="299"/>
      <c r="AF272" s="299"/>
      <c r="AG272" s="299"/>
      <c r="AH272" s="299"/>
      <c r="AI272" s="299"/>
      <c r="AJ272" s="299"/>
      <c r="AK272"/>
      <c r="AL272" s="124"/>
      <c r="AM272"/>
      <c r="AO272" s="123"/>
      <c r="AP272" s="123"/>
      <c r="AQ272" s="123"/>
      <c r="AR272" s="378"/>
    </row>
    <row r="273" spans="1:44" s="389" customFormat="1" ht="15.75" thickBot="1" x14ac:dyDescent="0.3">
      <c r="A273" s="262"/>
      <c r="B273" s="640" t="s">
        <v>28</v>
      </c>
      <c r="C273" s="811">
        <v>3335</v>
      </c>
      <c r="D273" s="812" t="s">
        <v>200</v>
      </c>
      <c r="E273" s="638"/>
      <c r="F273" s="829">
        <f>F167</f>
        <v>0</v>
      </c>
      <c r="G273" s="638">
        <f>G166</f>
        <v>0</v>
      </c>
      <c r="H273" s="638">
        <f>H165</f>
        <v>0</v>
      </c>
      <c r="I273" s="639">
        <f>I164</f>
        <v>0</v>
      </c>
      <c r="J273" s="634">
        <f t="shared" si="60"/>
        <v>0</v>
      </c>
      <c r="K273" s="750"/>
      <c r="L273" s="937" t="s">
        <v>284</v>
      </c>
      <c r="M273" s="754" t="s">
        <v>285</v>
      </c>
      <c r="N273" s="793"/>
      <c r="O273" s="299"/>
      <c r="P273" s="299"/>
      <c r="Q273" s="299"/>
      <c r="R273" s="299"/>
      <c r="S273" s="299"/>
      <c r="T273" s="124"/>
      <c r="U273" s="298"/>
      <c r="V273"/>
      <c r="W273"/>
      <c r="X273"/>
      <c r="Y273" s="245"/>
      <c r="Z273" s="295"/>
      <c r="AA273" s="295"/>
      <c r="AB273" s="299"/>
      <c r="AC273" s="299"/>
      <c r="AD273" s="299"/>
      <c r="AE273" s="299"/>
      <c r="AF273" s="299"/>
      <c r="AG273" s="299"/>
      <c r="AH273" s="299"/>
      <c r="AI273" s="299"/>
      <c r="AJ273" s="299"/>
      <c r="AK273"/>
      <c r="AL273" s="124"/>
      <c r="AM273"/>
      <c r="AO273" s="123"/>
      <c r="AP273" s="123"/>
      <c r="AQ273" s="123"/>
      <c r="AR273" s="378"/>
    </row>
    <row r="274" spans="1:44" s="389" customFormat="1" ht="15.75" thickBot="1" x14ac:dyDescent="0.3">
      <c r="A274" s="262"/>
      <c r="B274" s="444" t="s">
        <v>28</v>
      </c>
      <c r="C274" s="445" t="s">
        <v>24</v>
      </c>
      <c r="D274" s="446"/>
      <c r="E274" s="448">
        <f>SUM(E267:E273)</f>
        <v>0</v>
      </c>
      <c r="F274" s="820">
        <f t="shared" ref="F274:K274" si="64">SUM(F267:F273)</f>
        <v>105000</v>
      </c>
      <c r="G274" s="448">
        <f t="shared" si="64"/>
        <v>96000</v>
      </c>
      <c r="H274" s="448">
        <f t="shared" si="64"/>
        <v>0</v>
      </c>
      <c r="I274" s="448">
        <f t="shared" si="64"/>
        <v>0</v>
      </c>
      <c r="J274" s="449">
        <f t="shared" si="64"/>
        <v>201000</v>
      </c>
      <c r="K274" s="617">
        <f t="shared" si="64"/>
        <v>0</v>
      </c>
      <c r="L274" s="933"/>
      <c r="M274" s="448"/>
      <c r="N274" s="448"/>
      <c r="O274" s="299"/>
      <c r="P274" s="299"/>
      <c r="Q274" s="299"/>
      <c r="R274" s="299"/>
      <c r="S274" s="299"/>
      <c r="T274" s="124"/>
      <c r="U274" s="298"/>
      <c r="V274"/>
      <c r="W274"/>
      <c r="X274"/>
      <c r="Y274" s="245"/>
      <c r="Z274" s="295"/>
      <c r="AA274" s="295"/>
      <c r="AB274" s="299"/>
      <c r="AC274" s="299"/>
      <c r="AD274" s="299"/>
      <c r="AE274" s="299"/>
      <c r="AF274" s="299"/>
      <c r="AG274" s="299"/>
      <c r="AH274" s="299"/>
      <c r="AI274" s="299"/>
      <c r="AJ274" s="299"/>
      <c r="AK274"/>
      <c r="AL274" s="124"/>
      <c r="AM274"/>
      <c r="AO274" s="123"/>
      <c r="AP274" s="123"/>
      <c r="AQ274" s="123"/>
      <c r="AR274" s="378"/>
    </row>
    <row r="275" spans="1:44" s="389" customFormat="1" x14ac:dyDescent="0.25">
      <c r="A275" s="262"/>
      <c r="B275" s="640" t="s">
        <v>80</v>
      </c>
      <c r="C275" s="644">
        <v>809</v>
      </c>
      <c r="D275" s="645" t="s">
        <v>200</v>
      </c>
      <c r="E275" s="638">
        <f>E187</f>
        <v>0</v>
      </c>
      <c r="F275" s="829"/>
      <c r="G275" s="638"/>
      <c r="H275" s="638"/>
      <c r="I275" s="639"/>
      <c r="J275" s="634">
        <f t="shared" si="60"/>
        <v>0</v>
      </c>
      <c r="K275" s="1073"/>
      <c r="L275" s="937" t="s">
        <v>158</v>
      </c>
      <c r="M275" s="759" t="s">
        <v>157</v>
      </c>
      <c r="N275" s="761"/>
      <c r="O275" s="299"/>
      <c r="P275" s="299"/>
      <c r="Q275" s="299"/>
      <c r="R275" s="299"/>
      <c r="S275" s="299"/>
      <c r="T275" s="124"/>
      <c r="U275" s="298"/>
      <c r="V275"/>
      <c r="W275"/>
      <c r="X275"/>
      <c r="Y275" s="245"/>
      <c r="Z275" s="295"/>
      <c r="AA275" s="295"/>
      <c r="AB275" s="299"/>
      <c r="AC275" s="299"/>
      <c r="AD275" s="299"/>
      <c r="AE275" s="299"/>
      <c r="AF275" s="299"/>
      <c r="AG275" s="299"/>
      <c r="AH275" s="299"/>
      <c r="AI275" s="299"/>
      <c r="AJ275" s="299"/>
      <c r="AK275"/>
      <c r="AL275" s="124"/>
      <c r="AM275"/>
      <c r="AO275" s="123"/>
      <c r="AP275" s="123"/>
      <c r="AQ275" s="123"/>
      <c r="AR275" s="378"/>
    </row>
    <row r="276" spans="1:44" s="389" customFormat="1" x14ac:dyDescent="0.25">
      <c r="A276" s="262"/>
      <c r="B276" s="640" t="s">
        <v>80</v>
      </c>
      <c r="C276" s="644">
        <v>855</v>
      </c>
      <c r="D276" s="645" t="s">
        <v>200</v>
      </c>
      <c r="E276" s="638">
        <f>E190</f>
        <v>0</v>
      </c>
      <c r="F276" s="829"/>
      <c r="G276" s="638"/>
      <c r="H276" s="638"/>
      <c r="I276" s="639"/>
      <c r="J276" s="634">
        <f t="shared" si="60"/>
        <v>0</v>
      </c>
      <c r="K276" s="1073"/>
      <c r="L276" s="937" t="s">
        <v>178</v>
      </c>
      <c r="M276" s="759" t="s">
        <v>182</v>
      </c>
      <c r="N276" s="761"/>
      <c r="O276" s="299"/>
      <c r="P276" s="299"/>
      <c r="Q276" s="299"/>
      <c r="R276" s="299"/>
      <c r="S276" s="299"/>
      <c r="T276" s="124"/>
      <c r="U276" s="298"/>
      <c r="V276"/>
      <c r="W276"/>
      <c r="X276"/>
      <c r="Y276" s="245"/>
      <c r="Z276" s="295"/>
      <c r="AA276" s="295"/>
      <c r="AB276" s="299"/>
      <c r="AC276" s="299"/>
      <c r="AD276" s="299"/>
      <c r="AE276" s="299"/>
      <c r="AF276" s="299"/>
      <c r="AG276" s="299"/>
      <c r="AH276" s="299"/>
      <c r="AI276" s="299"/>
      <c r="AJ276" s="299"/>
      <c r="AK276"/>
      <c r="AL276" s="124"/>
      <c r="AM276"/>
      <c r="AO276" s="123"/>
      <c r="AP276" s="123"/>
      <c r="AQ276" s="123"/>
      <c r="AR276" s="378"/>
    </row>
    <row r="277" spans="1:44" s="389" customFormat="1" x14ac:dyDescent="0.25">
      <c r="A277" s="262"/>
      <c r="B277" s="640" t="s">
        <v>80</v>
      </c>
      <c r="C277" s="644">
        <v>3212</v>
      </c>
      <c r="D277" s="645" t="s">
        <v>223</v>
      </c>
      <c r="E277" s="638"/>
      <c r="F277" s="829">
        <f>F193</f>
        <v>3000</v>
      </c>
      <c r="G277" s="638"/>
      <c r="H277" s="638"/>
      <c r="I277" s="639"/>
      <c r="J277" s="634">
        <f t="shared" si="60"/>
        <v>3000</v>
      </c>
      <c r="K277" s="1073"/>
      <c r="L277" s="937" t="s">
        <v>189</v>
      </c>
      <c r="M277" s="759" t="s">
        <v>188</v>
      </c>
      <c r="N277" s="761"/>
      <c r="O277" s="299"/>
      <c r="P277" s="299"/>
      <c r="Q277" s="299"/>
      <c r="R277" s="299"/>
      <c r="S277" s="299"/>
      <c r="T277" s="124"/>
      <c r="U277" s="298"/>
      <c r="V277"/>
      <c r="W277"/>
      <c r="X277"/>
      <c r="Y277" s="245"/>
      <c r="Z277" s="295"/>
      <c r="AA277" s="295"/>
      <c r="AB277" s="299"/>
      <c r="AC277" s="299"/>
      <c r="AD277" s="299"/>
      <c r="AE277" s="299"/>
      <c r="AF277" s="299"/>
      <c r="AG277" s="299"/>
      <c r="AH277" s="299"/>
      <c r="AI277" s="299"/>
      <c r="AJ277" s="299"/>
      <c r="AK277"/>
      <c r="AL277" s="124"/>
      <c r="AM277"/>
      <c r="AO277" s="123"/>
      <c r="AP277" s="123"/>
      <c r="AQ277" s="123"/>
      <c r="AR277" s="378"/>
    </row>
    <row r="278" spans="1:44" s="389" customFormat="1" x14ac:dyDescent="0.25">
      <c r="A278" s="262"/>
      <c r="B278" s="640" t="s">
        <v>80</v>
      </c>
      <c r="C278" s="644">
        <v>3241</v>
      </c>
      <c r="D278" s="645" t="s">
        <v>199</v>
      </c>
      <c r="E278" s="638"/>
      <c r="F278" s="829">
        <f>F195</f>
        <v>0</v>
      </c>
      <c r="G278" s="638">
        <f>G196</f>
        <v>0</v>
      </c>
      <c r="H278" s="638">
        <f>H197</f>
        <v>0</v>
      </c>
      <c r="I278" s="188">
        <f>I198</f>
        <v>0</v>
      </c>
      <c r="J278" s="634">
        <f>SUM(F278:I278)</f>
        <v>0</v>
      </c>
      <c r="K278" s="750">
        <f>K194</f>
        <v>0</v>
      </c>
      <c r="L278" s="937" t="s">
        <v>194</v>
      </c>
      <c r="M278" s="759" t="s">
        <v>188</v>
      </c>
      <c r="N278" s="761"/>
      <c r="O278" s="299"/>
      <c r="P278" s="299"/>
      <c r="Q278" s="299"/>
      <c r="R278" s="299"/>
      <c r="S278" s="299"/>
      <c r="T278" s="124"/>
      <c r="U278" s="298"/>
      <c r="V278"/>
      <c r="W278"/>
      <c r="X278"/>
      <c r="Y278" s="245"/>
      <c r="Z278" s="295"/>
      <c r="AA278" s="295"/>
      <c r="AB278" s="299"/>
      <c r="AC278" s="299"/>
      <c r="AD278" s="299"/>
      <c r="AE278" s="299"/>
      <c r="AF278" s="299"/>
      <c r="AG278" s="299"/>
      <c r="AH278" s="299"/>
      <c r="AI278" s="299"/>
      <c r="AJ278" s="299"/>
      <c r="AK278"/>
      <c r="AL278" s="124"/>
      <c r="AM278"/>
      <c r="AO278" s="123"/>
      <c r="AP278" s="123"/>
      <c r="AQ278" s="123"/>
      <c r="AR278" s="378"/>
    </row>
    <row r="279" spans="1:44" s="382" customFormat="1" x14ac:dyDescent="0.25">
      <c r="A279" s="262"/>
      <c r="B279" s="640" t="s">
        <v>80</v>
      </c>
      <c r="C279" s="644">
        <v>3271</v>
      </c>
      <c r="D279" s="645" t="s">
        <v>200</v>
      </c>
      <c r="E279" s="638"/>
      <c r="F279" s="829"/>
      <c r="G279" s="638"/>
      <c r="H279" s="638"/>
      <c r="I279" s="639"/>
      <c r="J279" s="634">
        <f t="shared" si="60"/>
        <v>0</v>
      </c>
      <c r="K279" s="750">
        <f>K208</f>
        <v>0</v>
      </c>
      <c r="L279" s="1067">
        <v>45279</v>
      </c>
      <c r="M279" s="760">
        <v>45381</v>
      </c>
      <c r="N279" s="761"/>
      <c r="O279" s="299"/>
      <c r="P279" s="299"/>
      <c r="Q279" s="299"/>
      <c r="R279" s="299"/>
      <c r="S279" s="299"/>
      <c r="T279" s="124"/>
      <c r="U279" s="298"/>
      <c r="V279"/>
      <c r="W279"/>
      <c r="X279"/>
      <c r="Y279" s="245"/>
      <c r="Z279" s="295"/>
      <c r="AA279" s="295"/>
      <c r="AB279" s="299"/>
      <c r="AC279" s="299"/>
      <c r="AD279" s="299"/>
      <c r="AE279" s="299"/>
      <c r="AF279" s="299"/>
      <c r="AG279" s="299"/>
      <c r="AH279" s="299"/>
      <c r="AI279" s="299"/>
      <c r="AJ279" s="299"/>
      <c r="AK279"/>
      <c r="AL279" s="124"/>
      <c r="AM279"/>
      <c r="AN279" s="381"/>
    </row>
    <row r="280" spans="1:44" s="382" customFormat="1" x14ac:dyDescent="0.25">
      <c r="A280" s="262"/>
      <c r="B280" s="640" t="s">
        <v>80</v>
      </c>
      <c r="C280" s="749">
        <v>3289</v>
      </c>
      <c r="D280" s="635" t="s">
        <v>200</v>
      </c>
      <c r="E280" s="638"/>
      <c r="F280" s="829">
        <f>F212</f>
        <v>0</v>
      </c>
      <c r="G280" s="638">
        <f>G213</f>
        <v>0</v>
      </c>
      <c r="H280" s="638">
        <f>H214</f>
        <v>0</v>
      </c>
      <c r="I280" s="188">
        <f>I215</f>
        <v>0</v>
      </c>
      <c r="J280" s="634">
        <f t="shared" si="60"/>
        <v>0</v>
      </c>
      <c r="K280" s="750"/>
      <c r="L280" s="937" t="s">
        <v>256</v>
      </c>
      <c r="M280" s="754" t="s">
        <v>257</v>
      </c>
      <c r="N280" s="761"/>
      <c r="O280" s="299"/>
      <c r="P280" s="299"/>
      <c r="Q280" s="299"/>
      <c r="R280" s="299"/>
      <c r="S280" s="299"/>
      <c r="T280" s="124"/>
      <c r="U280" s="298"/>
      <c r="V280"/>
      <c r="W280"/>
      <c r="X280"/>
      <c r="Y280" s="245"/>
      <c r="Z280" s="295"/>
      <c r="AA280" s="295"/>
      <c r="AB280" s="299"/>
      <c r="AC280" s="299"/>
      <c r="AD280" s="299"/>
      <c r="AE280" s="299"/>
      <c r="AF280" s="299"/>
      <c r="AG280" s="299"/>
      <c r="AH280" s="299"/>
      <c r="AI280" s="299"/>
      <c r="AJ280" s="299"/>
      <c r="AK280"/>
      <c r="AL280" s="124"/>
      <c r="AM280"/>
      <c r="AN280" s="381"/>
    </row>
    <row r="281" spans="1:44" s="382" customFormat="1" x14ac:dyDescent="0.25">
      <c r="A281" s="262"/>
      <c r="B281" s="640" t="s">
        <v>80</v>
      </c>
      <c r="C281" s="749">
        <v>3292</v>
      </c>
      <c r="D281" s="635" t="s">
        <v>223</v>
      </c>
      <c r="E281" s="638"/>
      <c r="F281" s="829"/>
      <c r="G281" s="638"/>
      <c r="H281" s="638"/>
      <c r="I281" s="639"/>
      <c r="J281" s="634">
        <f t="shared" si="60"/>
        <v>0</v>
      </c>
      <c r="K281" s="750">
        <f>K216</f>
        <v>0</v>
      </c>
      <c r="L281" s="937" t="s">
        <v>258</v>
      </c>
      <c r="M281" s="754" t="s">
        <v>257</v>
      </c>
      <c r="N281" s="761"/>
      <c r="O281" s="299"/>
      <c r="P281" s="299"/>
      <c r="Q281" s="299"/>
      <c r="R281" s="299"/>
      <c r="S281" s="299"/>
      <c r="T281" s="124"/>
      <c r="U281" s="298"/>
      <c r="V281"/>
      <c r="W281"/>
      <c r="X281"/>
      <c r="Y281" s="245"/>
      <c r="Z281" s="295"/>
      <c r="AA281" s="295"/>
      <c r="AB281" s="299"/>
      <c r="AC281" s="299"/>
      <c r="AD281" s="299"/>
      <c r="AE281" s="299"/>
      <c r="AF281" s="299"/>
      <c r="AG281" s="299"/>
      <c r="AH281" s="299"/>
      <c r="AI281" s="299"/>
      <c r="AJ281" s="299"/>
      <c r="AK281"/>
      <c r="AL281" s="124"/>
      <c r="AM281"/>
      <c r="AN281" s="381"/>
    </row>
    <row r="282" spans="1:44" s="382" customFormat="1" x14ac:dyDescent="0.25">
      <c r="A282" s="262"/>
      <c r="B282" s="640" t="s">
        <v>80</v>
      </c>
      <c r="C282" s="749">
        <v>3306</v>
      </c>
      <c r="D282" s="635" t="s">
        <v>200</v>
      </c>
      <c r="E282" s="836"/>
      <c r="F282" s="829">
        <f>F218</f>
        <v>0</v>
      </c>
      <c r="G282" s="638">
        <f>G217</f>
        <v>0</v>
      </c>
      <c r="H282" s="638">
        <f>H219</f>
        <v>0</v>
      </c>
      <c r="I282" s="639">
        <f>I220</f>
        <v>0</v>
      </c>
      <c r="J282" s="634">
        <f>SUM(F282:I282)</f>
        <v>0</v>
      </c>
      <c r="K282" s="750"/>
      <c r="L282" s="937" t="s">
        <v>290</v>
      </c>
      <c r="M282" s="754" t="s">
        <v>275</v>
      </c>
      <c r="N282" s="761"/>
      <c r="O282" s="299"/>
      <c r="P282" s="299"/>
      <c r="Q282" s="299"/>
      <c r="R282" s="299"/>
      <c r="S282" s="299"/>
      <c r="T282" s="124"/>
      <c r="U282" s="298"/>
      <c r="V282"/>
      <c r="W282"/>
      <c r="X282"/>
      <c r="Y282" s="245"/>
      <c r="Z282" s="295"/>
      <c r="AA282" s="295"/>
      <c r="AB282" s="299"/>
      <c r="AC282" s="299"/>
      <c r="AD282" s="299"/>
      <c r="AE282" s="299"/>
      <c r="AF282" s="299"/>
      <c r="AG282" s="299"/>
      <c r="AH282" s="299"/>
      <c r="AI282" s="299"/>
      <c r="AJ282" s="299"/>
      <c r="AK282"/>
      <c r="AL282" s="124"/>
      <c r="AM282"/>
      <c r="AN282" s="381"/>
    </row>
    <row r="283" spans="1:44" s="382" customFormat="1" ht="15.75" thickBot="1" x14ac:dyDescent="0.3">
      <c r="A283" s="262"/>
      <c r="B283" s="640" t="s">
        <v>80</v>
      </c>
      <c r="C283" s="749" t="s">
        <v>351</v>
      </c>
      <c r="D283" s="813" t="s">
        <v>199</v>
      </c>
      <c r="E283" s="814">
        <f>E227</f>
        <v>0</v>
      </c>
      <c r="F283" s="829"/>
      <c r="G283" s="638">
        <f>G222</f>
        <v>0</v>
      </c>
      <c r="H283" s="638">
        <f>H223</f>
        <v>0</v>
      </c>
      <c r="I283" s="639">
        <f>I224</f>
        <v>0</v>
      </c>
      <c r="J283" s="634">
        <f>SUM(F283:I283)</f>
        <v>0</v>
      </c>
      <c r="K283" s="1074">
        <f>K221</f>
        <v>0</v>
      </c>
      <c r="L283" s="920" t="s">
        <v>334</v>
      </c>
      <c r="M283" s="938" t="s">
        <v>335</v>
      </c>
      <c r="N283" s="761"/>
      <c r="O283" s="299"/>
      <c r="P283" s="299"/>
      <c r="Q283" s="299"/>
      <c r="R283" s="299"/>
      <c r="S283" s="299"/>
      <c r="T283" s="124"/>
      <c r="U283" s="298"/>
      <c r="V283"/>
      <c r="W283"/>
      <c r="X283"/>
      <c r="Y283" s="245"/>
      <c r="Z283" s="295"/>
      <c r="AA283" s="295"/>
      <c r="AB283" s="299"/>
      <c r="AC283" s="299"/>
      <c r="AD283" s="299"/>
      <c r="AE283" s="299"/>
      <c r="AF283" s="299"/>
      <c r="AG283" s="299"/>
      <c r="AH283" s="299"/>
      <c r="AI283" s="299"/>
      <c r="AJ283" s="299"/>
      <c r="AK283"/>
      <c r="AL283" s="124"/>
      <c r="AM283"/>
      <c r="AN283" s="381"/>
    </row>
    <row r="284" spans="1:44" s="30" customFormat="1" ht="15.75" thickBot="1" x14ac:dyDescent="0.3">
      <c r="A284" s="262"/>
      <c r="B284" s="444" t="s">
        <v>80</v>
      </c>
      <c r="C284" s="445" t="s">
        <v>24</v>
      </c>
      <c r="D284" s="446"/>
      <c r="E284" s="448">
        <f t="shared" ref="E284:K284" si="65">SUM(E275:E283)</f>
        <v>0</v>
      </c>
      <c r="F284" s="820">
        <f t="shared" si="65"/>
        <v>3000</v>
      </c>
      <c r="G284" s="820">
        <f t="shared" si="65"/>
        <v>0</v>
      </c>
      <c r="H284" s="820">
        <f t="shared" si="65"/>
        <v>0</v>
      </c>
      <c r="I284" s="820">
        <f t="shared" si="65"/>
        <v>0</v>
      </c>
      <c r="J284" s="835">
        <f>SUM(J275:J283)</f>
        <v>3000</v>
      </c>
      <c r="K284" s="1071">
        <f t="shared" si="65"/>
        <v>0</v>
      </c>
      <c r="L284" s="448"/>
      <c r="M284" s="448"/>
      <c r="N284" s="448"/>
      <c r="O284" s="299"/>
      <c r="P284" s="299"/>
      <c r="Q284" s="299"/>
      <c r="R284" s="299"/>
      <c r="S284" s="124"/>
      <c r="T284" s="298"/>
      <c r="U284"/>
      <c r="V284"/>
      <c r="W284"/>
      <c r="X284" s="245"/>
      <c r="Y284" s="295"/>
      <c r="Z284" s="124"/>
      <c r="AA284" s="295"/>
      <c r="AB284" s="299"/>
      <c r="AC284" s="299"/>
      <c r="AD284" s="299"/>
      <c r="AE284" s="299"/>
      <c r="AF284" s="299"/>
      <c r="AG284" s="299"/>
      <c r="AH284" s="299"/>
      <c r="AI284" s="299"/>
      <c r="AJ284"/>
      <c r="AK284" s="124"/>
      <c r="AL284"/>
    </row>
    <row r="285" spans="1:44" s="30" customFormat="1" ht="15.75" thickBot="1" x14ac:dyDescent="0.3">
      <c r="A285" s="262"/>
      <c r="B285" s="244"/>
      <c r="C285" s="649" t="s">
        <v>169</v>
      </c>
      <c r="D285" s="650"/>
      <c r="E285" s="651">
        <f>E253+E261+E266+E274+E284</f>
        <v>125000</v>
      </c>
      <c r="F285" s="830">
        <f t="shared" ref="F285:K285" si="66">F253+F261+F266+F274+F284</f>
        <v>108000</v>
      </c>
      <c r="G285" s="651">
        <f>G253+G261+G266+G274+G284</f>
        <v>96000</v>
      </c>
      <c r="H285" s="651">
        <f t="shared" si="66"/>
        <v>2160</v>
      </c>
      <c r="I285" s="651">
        <f t="shared" si="66"/>
        <v>2160</v>
      </c>
      <c r="J285" s="652">
        <f>J253+J261+J266+J274+J284</f>
        <v>208320</v>
      </c>
      <c r="K285" s="651">
        <f t="shared" si="66"/>
        <v>0</v>
      </c>
      <c r="L285" s="299"/>
      <c r="M285" s="299"/>
      <c r="N285" s="299"/>
      <c r="O285" s="299"/>
      <c r="P285" s="299"/>
      <c r="Q285" s="299"/>
      <c r="R285" s="299"/>
      <c r="S285" s="124"/>
      <c r="T285" s="298"/>
      <c r="U285"/>
      <c r="V285"/>
      <c r="W285"/>
      <c r="X285" s="245"/>
      <c r="Y285" s="295"/>
      <c r="Z285" s="124"/>
      <c r="AA285" s="295"/>
      <c r="AB285" s="299"/>
      <c r="AC285" s="299"/>
      <c r="AD285" s="299"/>
      <c r="AE285" s="299"/>
      <c r="AF285" s="299"/>
      <c r="AG285" s="299"/>
      <c r="AH285" s="299"/>
      <c r="AI285" s="299"/>
      <c r="AJ285"/>
      <c r="AK285" s="124"/>
      <c r="AL285"/>
    </row>
    <row r="286" spans="1:44" s="30" customFormat="1" ht="15" customHeight="1" x14ac:dyDescent="0.25">
      <c r="A286" s="262"/>
      <c r="B286" s="244"/>
      <c r="C286" s="657"/>
      <c r="D286" s="658"/>
      <c r="E286" s="769" t="s">
        <v>30</v>
      </c>
      <c r="F286" s="833" t="s">
        <v>90</v>
      </c>
      <c r="G286" s="771" t="s">
        <v>91</v>
      </c>
      <c r="H286" s="771" t="s">
        <v>92</v>
      </c>
      <c r="I286" s="771" t="s">
        <v>93</v>
      </c>
      <c r="J286" s="774" t="s">
        <v>94</v>
      </c>
      <c r="K286" s="776" t="s">
        <v>46</v>
      </c>
      <c r="L286" s="777" t="s">
        <v>229</v>
      </c>
      <c r="M286" s="299" t="s">
        <v>353</v>
      </c>
      <c r="N286" s="299" t="s">
        <v>354</v>
      </c>
      <c r="O286" s="299" t="s">
        <v>355</v>
      </c>
      <c r="P286" s="299"/>
      <c r="Q286" s="299"/>
      <c r="R286" s="299"/>
      <c r="S286" s="124"/>
      <c r="T286" s="298"/>
      <c r="U286"/>
      <c r="V286"/>
      <c r="W286"/>
      <c r="X286" s="245"/>
      <c r="Y286" s="295"/>
      <c r="Z286" s="124"/>
      <c r="AA286" s="295"/>
      <c r="AB286" s="299"/>
      <c r="AC286" s="299"/>
      <c r="AD286" s="299"/>
      <c r="AE286" s="299"/>
      <c r="AF286" s="299"/>
      <c r="AG286" s="299"/>
      <c r="AH286" s="299"/>
      <c r="AI286" s="299"/>
      <c r="AJ286"/>
      <c r="AK286" s="124"/>
      <c r="AL286"/>
    </row>
    <row r="287" spans="1:44" s="30" customFormat="1" x14ac:dyDescent="0.25">
      <c r="A287" s="262"/>
      <c r="B287" s="244"/>
      <c r="C287" s="659"/>
      <c r="D287" s="659"/>
      <c r="E287" s="778"/>
      <c r="F287" s="778"/>
      <c r="G287" s="778"/>
      <c r="H287" s="778"/>
      <c r="I287" s="778"/>
      <c r="J287" s="905"/>
      <c r="K287" s="778"/>
      <c r="L287" s="778"/>
      <c r="M287" s="299" t="s">
        <v>352</v>
      </c>
      <c r="N287" s="298"/>
      <c r="O287"/>
      <c r="P287"/>
      <c r="Q287" s="245"/>
      <c r="R287" s="295"/>
      <c r="S287" s="124"/>
      <c r="T287" s="299"/>
      <c r="U287" s="299"/>
      <c r="V287" s="299"/>
      <c r="W287" s="299"/>
      <c r="X287" s="299"/>
      <c r="Y287" s="299"/>
      <c r="Z287" s="299"/>
      <c r="AA287" s="295"/>
      <c r="AB287" s="299"/>
      <c r="AC287"/>
      <c r="AD287" s="124"/>
      <c r="AE287"/>
    </row>
    <row r="288" spans="1:44" s="30" customFormat="1" x14ac:dyDescent="0.25">
      <c r="A288" s="262"/>
      <c r="B288" s="244"/>
      <c r="C288" s="773" t="s">
        <v>199</v>
      </c>
      <c r="D288" s="773"/>
      <c r="E288" s="656">
        <f t="shared" ref="E288:K288" si="67">SUMIF($D$248:$D$283,"Borneo",E$248:E$283)</f>
        <v>125000</v>
      </c>
      <c r="F288" s="656">
        <f t="shared" si="67"/>
        <v>105000</v>
      </c>
      <c r="G288" s="656">
        <f t="shared" si="67"/>
        <v>96000</v>
      </c>
      <c r="H288" s="656">
        <f t="shared" si="67"/>
        <v>0</v>
      </c>
      <c r="I288" s="656">
        <f t="shared" si="67"/>
        <v>0</v>
      </c>
      <c r="J288" s="906">
        <f t="shared" si="67"/>
        <v>201000</v>
      </c>
      <c r="K288" s="656">
        <f t="shared" si="67"/>
        <v>0</v>
      </c>
      <c r="L288" s="660">
        <f>F288+(G288*2)+(H288*3)+(I288*4)</f>
        <v>297000</v>
      </c>
      <c r="M288" s="915">
        <f>L288/566667</f>
        <v>0.52411733875450661</v>
      </c>
      <c r="N288" s="940">
        <f>E288/333333</f>
        <v>0.37500037500037497</v>
      </c>
      <c r="O288" s="939">
        <f>K288/1391666.66666667</f>
        <v>0</v>
      </c>
      <c r="P288" s="299"/>
      <c r="Q288" s="299"/>
      <c r="R288" s="299"/>
      <c r="S288" s="299"/>
      <c r="T288" s="124"/>
      <c r="U288" s="298"/>
      <c r="V288"/>
      <c r="W288"/>
      <c r="X288"/>
      <c r="Y288" s="245"/>
      <c r="Z288" s="295"/>
      <c r="AA288" s="295"/>
      <c r="AB288" s="299"/>
      <c r="AC288" s="299"/>
      <c r="AD288" s="299"/>
      <c r="AE288" s="299"/>
      <c r="AF288" s="299"/>
      <c r="AG288" s="299"/>
      <c r="AH288" s="299"/>
      <c r="AI288" s="299"/>
      <c r="AJ288" s="299"/>
      <c r="AK288"/>
      <c r="AL288" s="124"/>
      <c r="AM288"/>
    </row>
    <row r="289" spans="1:40" s="382" customFormat="1" x14ac:dyDescent="0.25">
      <c r="A289" s="262"/>
      <c r="B289" s="244"/>
      <c r="C289" s="773" t="s">
        <v>200</v>
      </c>
      <c r="D289" s="773"/>
      <c r="E289" s="656">
        <f t="shared" ref="E289:K289" si="68">SUMIF($D$248:$D$283,"Modern",E$248:E$283)</f>
        <v>0</v>
      </c>
      <c r="F289" s="656">
        <f t="shared" si="68"/>
        <v>0</v>
      </c>
      <c r="G289" s="656">
        <f t="shared" si="68"/>
        <v>0</v>
      </c>
      <c r="H289" s="656">
        <f t="shared" si="68"/>
        <v>2160</v>
      </c>
      <c r="I289" s="656">
        <f t="shared" si="68"/>
        <v>2160</v>
      </c>
      <c r="J289" s="906">
        <f t="shared" si="68"/>
        <v>4320</v>
      </c>
      <c r="K289" s="656">
        <f t="shared" si="68"/>
        <v>0</v>
      </c>
      <c r="L289" s="660">
        <f>F289+(G289*2)+(H289*3)+(I289*4)</f>
        <v>15120</v>
      </c>
      <c r="M289" s="915">
        <f>L289/566667</f>
        <v>2.6682337245683974E-2</v>
      </c>
      <c r="N289" s="940">
        <f>E289/333333</f>
        <v>0</v>
      </c>
      <c r="O289" s="939">
        <f>K289/1391666.66666667</f>
        <v>0</v>
      </c>
      <c r="P289" s="299"/>
      <c r="Q289" s="299"/>
      <c r="R289" s="299"/>
      <c r="S289" s="299"/>
      <c r="T289" s="124"/>
      <c r="U289" s="298"/>
      <c r="V289"/>
      <c r="W289"/>
      <c r="X289"/>
      <c r="Y289" s="245"/>
      <c r="Z289" s="295"/>
      <c r="AA289" s="295"/>
      <c r="AB289" s="299"/>
      <c r="AC289" s="299"/>
      <c r="AD289" s="299"/>
      <c r="AE289" s="299"/>
      <c r="AF289" s="299"/>
      <c r="AG289" s="299"/>
      <c r="AH289" s="299"/>
      <c r="AI289" s="299"/>
      <c r="AJ289" s="299"/>
      <c r="AK289"/>
      <c r="AL289" s="124"/>
      <c r="AM289"/>
    </row>
    <row r="290" spans="1:40" s="382" customFormat="1" x14ac:dyDescent="0.25">
      <c r="A290" s="262"/>
      <c r="B290" s="244"/>
      <c r="C290" s="773" t="s">
        <v>223</v>
      </c>
      <c r="D290" s="773"/>
      <c r="E290" s="656">
        <f>SUMIF($D$248:$D$283,"CPL",E$248:E$283)</f>
        <v>0</v>
      </c>
      <c r="F290" s="656">
        <f t="shared" ref="F290:K290" si="69">SUMIF($D$248:$D$283,"CPL",F$248:F$283)</f>
        <v>3000</v>
      </c>
      <c r="G290" s="656">
        <f t="shared" si="69"/>
        <v>0</v>
      </c>
      <c r="H290" s="656">
        <f t="shared" si="69"/>
        <v>0</v>
      </c>
      <c r="I290" s="656">
        <f t="shared" si="69"/>
        <v>0</v>
      </c>
      <c r="J290" s="906">
        <f t="shared" si="69"/>
        <v>3000</v>
      </c>
      <c r="K290" s="656">
        <f t="shared" si="69"/>
        <v>0</v>
      </c>
      <c r="L290" s="660">
        <f>F290+(G290*2)+(H290*3)+(I290*4)</f>
        <v>3000</v>
      </c>
      <c r="M290" s="915">
        <f>L290/566667</f>
        <v>5.294114532873804E-3</v>
      </c>
      <c r="N290" s="940">
        <f>E290/333333</f>
        <v>0</v>
      </c>
      <c r="O290" s="939">
        <f>K290/1391666.66666667</f>
        <v>0</v>
      </c>
      <c r="P290" s="299"/>
      <c r="Q290" s="299"/>
      <c r="R290" s="299"/>
      <c r="S290" s="299"/>
      <c r="T290" s="299"/>
      <c r="U290" s="124"/>
      <c r="V290" s="298"/>
      <c r="W290"/>
      <c r="X290"/>
      <c r="Y290"/>
      <c r="Z290" s="245"/>
      <c r="AA290" s="295"/>
      <c r="AB290" s="124"/>
      <c r="AC290" s="299"/>
      <c r="AD290" s="299"/>
      <c r="AE290" s="299"/>
      <c r="AF290" s="299"/>
      <c r="AG290" s="299"/>
      <c r="AH290" s="299"/>
      <c r="AI290" s="299"/>
      <c r="AJ290" s="299"/>
      <c r="AK290" s="299"/>
      <c r="AL290"/>
      <c r="AM290" s="124"/>
      <c r="AN290"/>
    </row>
    <row r="291" spans="1:40" s="379" customFormat="1" x14ac:dyDescent="0.25">
      <c r="A291" s="262"/>
      <c r="B291" s="244"/>
      <c r="C291" s="773" t="s">
        <v>228</v>
      </c>
      <c r="D291" s="773"/>
      <c r="E291" s="656">
        <f t="shared" ref="E291:K291" si="70">SUMIF($D$248:$D$283,"Supreme",E$248:E$283)</f>
        <v>0</v>
      </c>
      <c r="F291" s="656">
        <f t="shared" si="70"/>
        <v>0</v>
      </c>
      <c r="G291" s="656">
        <f t="shared" si="70"/>
        <v>0</v>
      </c>
      <c r="H291" s="656">
        <f t="shared" si="70"/>
        <v>0</v>
      </c>
      <c r="I291" s="656">
        <f t="shared" si="70"/>
        <v>0</v>
      </c>
      <c r="J291" s="906">
        <f t="shared" si="70"/>
        <v>0</v>
      </c>
      <c r="K291" s="656">
        <f t="shared" si="70"/>
        <v>0</v>
      </c>
      <c r="L291" s="660">
        <f>F291+(G291*2)+(H291*3)+(I291*4)</f>
        <v>0</v>
      </c>
      <c r="M291" s="915">
        <f>L291/566667</f>
        <v>0</v>
      </c>
      <c r="N291" s="940">
        <f>E291/333333</f>
        <v>0</v>
      </c>
      <c r="O291" s="939">
        <f>K291/1391666.66666667</f>
        <v>0</v>
      </c>
      <c r="P291" s="299"/>
      <c r="Q291" s="299"/>
      <c r="R291" s="299"/>
      <c r="S291" s="299"/>
      <c r="T291" s="299"/>
      <c r="U291" s="124"/>
      <c r="V291" s="298"/>
      <c r="W291"/>
      <c r="X291"/>
      <c r="Y291"/>
      <c r="Z291" s="245"/>
      <c r="AA291" s="295"/>
      <c r="AB291" s="124"/>
      <c r="AC291" s="299"/>
      <c r="AD291" s="299"/>
      <c r="AE291" s="299"/>
      <c r="AF291" s="299"/>
      <c r="AG291" s="299"/>
      <c r="AH291" s="299"/>
      <c r="AI291" s="299"/>
      <c r="AJ291" s="299"/>
      <c r="AK291" s="299"/>
      <c r="AL291"/>
      <c r="AM291" s="124"/>
      <c r="AN291"/>
    </row>
    <row r="292" spans="1:40" s="379" customFormat="1" x14ac:dyDescent="0.25">
      <c r="A292" s="262"/>
      <c r="B292" s="244"/>
      <c r="C292" s="428"/>
      <c r="D292" s="428" t="s">
        <v>386</v>
      </c>
      <c r="E292" s="298">
        <f>SUM(E288:E291)</f>
        <v>125000</v>
      </c>
      <c r="F292" s="831"/>
      <c r="G292"/>
      <c r="H292"/>
      <c r="I292" s="245"/>
      <c r="J292" s="295"/>
      <c r="K292" s="921">
        <f>SUM(K288:K291)</f>
        <v>0</v>
      </c>
      <c r="L292" s="299"/>
      <c r="M292" s="401">
        <f>SUM(M288:M291)</f>
        <v>0.55609379053306429</v>
      </c>
      <c r="N292" s="401">
        <f>SUM(N288:N291)</f>
        <v>0.37500037500037497</v>
      </c>
      <c r="O292" s="401">
        <f>SUM(O288:O291)</f>
        <v>0</v>
      </c>
      <c r="P292" s="299"/>
      <c r="Q292" s="299"/>
      <c r="R292" s="299"/>
      <c r="S292" s="299"/>
      <c r="T292" s="299"/>
      <c r="U292" s="124"/>
      <c r="V292" s="298"/>
      <c r="W292"/>
      <c r="X292"/>
      <c r="Y292"/>
      <c r="Z292" s="245"/>
      <c r="AA292" s="295"/>
      <c r="AB292" s="124"/>
      <c r="AC292" s="299"/>
      <c r="AD292" s="299"/>
      <c r="AE292" s="299"/>
      <c r="AF292" s="299"/>
      <c r="AG292" s="299"/>
      <c r="AH292" s="299"/>
      <c r="AI292" s="299"/>
      <c r="AJ292" s="299"/>
      <c r="AK292" s="299"/>
      <c r="AL292"/>
      <c r="AM292" s="124"/>
      <c r="AN292"/>
    </row>
    <row r="293" spans="1:40" s="379" customFormat="1" x14ac:dyDescent="0.25">
      <c r="A293" s="262"/>
      <c r="B293" s="244"/>
      <c r="C293" s="428"/>
      <c r="D293" s="428"/>
      <c r="E293" s="922">
        <f>E292/333333</f>
        <v>0.37500037500037497</v>
      </c>
      <c r="F293" s="832"/>
      <c r="G293" s="299"/>
      <c r="H293" s="299"/>
      <c r="I293" s="299"/>
      <c r="J293" s="295"/>
      <c r="K293" s="400">
        <f>K292/1391666.66666667</f>
        <v>0</v>
      </c>
      <c r="L293" s="299"/>
      <c r="M293" s="299"/>
      <c r="N293" s="124"/>
      <c r="O293" s="298"/>
      <c r="P293"/>
      <c r="Q293"/>
      <c r="R293"/>
      <c r="S293" s="245"/>
      <c r="T293" s="295"/>
      <c r="U293" s="124"/>
      <c r="V293" s="299"/>
      <c r="W293" s="299"/>
      <c r="X293" s="299"/>
      <c r="Y293" s="299"/>
      <c r="Z293" s="299"/>
      <c r="AA293" s="295"/>
      <c r="AB293" s="299"/>
      <c r="AC293" s="299"/>
      <c r="AD293" s="299"/>
      <c r="AE293"/>
      <c r="AF293" s="124"/>
      <c r="AG293"/>
    </row>
    <row r="294" spans="1:40" s="379" customFormat="1" x14ac:dyDescent="0.25">
      <c r="A294" s="262"/>
      <c r="B294" s="244"/>
      <c r="C294" s="428"/>
      <c r="D294" s="428"/>
      <c r="E294" s="298"/>
      <c r="F294" s="831"/>
      <c r="G294"/>
      <c r="H294"/>
      <c r="I294" s="245"/>
      <c r="J294" s="295"/>
      <c r="K294" s="124"/>
      <c r="L294" s="299"/>
      <c r="M294" s="299"/>
      <c r="N294" s="299"/>
      <c r="O294" s="299"/>
      <c r="P294" s="299"/>
      <c r="Q294" s="299"/>
      <c r="R294" s="299"/>
      <c r="S294" s="299"/>
      <c r="T294" s="299"/>
      <c r="U294" s="124"/>
      <c r="V294" s="298"/>
      <c r="W294"/>
      <c r="X294"/>
      <c r="Y294"/>
      <c r="Z294" s="245"/>
      <c r="AA294" s="295"/>
      <c r="AB294" s="124"/>
      <c r="AC294" s="299"/>
      <c r="AD294" s="299"/>
      <c r="AE294" s="299"/>
      <c r="AF294" s="299"/>
      <c r="AG294" s="299"/>
      <c r="AH294" s="299"/>
      <c r="AI294" s="299"/>
      <c r="AJ294" s="299"/>
      <c r="AK294" s="299"/>
      <c r="AL294"/>
      <c r="AM294" s="124"/>
      <c r="AN294"/>
    </row>
    <row r="295" spans="1:40" s="379" customFormat="1" x14ac:dyDescent="0.25">
      <c r="A295" s="262"/>
      <c r="B295" s="244"/>
      <c r="C295" s="428"/>
      <c r="D295" s="428"/>
      <c r="E295" s="298"/>
      <c r="F295" s="831"/>
      <c r="G295"/>
      <c r="H295"/>
      <c r="I295" s="245"/>
      <c r="J295" s="295"/>
      <c r="K295" s="124"/>
      <c r="L295" s="299"/>
      <c r="M295" s="299"/>
      <c r="N295" s="299"/>
      <c r="O295" s="299"/>
      <c r="P295" s="299"/>
      <c r="Q295" s="299"/>
      <c r="R295" s="299"/>
      <c r="S295" s="299"/>
      <c r="T295" s="299"/>
      <c r="U295" s="124"/>
      <c r="V295" s="298"/>
      <c r="W295"/>
      <c r="X295"/>
      <c r="Y295"/>
      <c r="Z295" s="245"/>
      <c r="AA295" s="295"/>
      <c r="AB295" s="124"/>
      <c r="AC295" s="299"/>
      <c r="AD295" s="299"/>
      <c r="AE295" s="299"/>
      <c r="AF295" s="299"/>
      <c r="AG295" s="299"/>
      <c r="AH295" s="299"/>
      <c r="AI295" s="299"/>
      <c r="AJ295" s="299"/>
      <c r="AK295" s="299"/>
      <c r="AL295"/>
      <c r="AM295" s="124"/>
      <c r="AN295"/>
    </row>
    <row r="296" spans="1:40" s="382" customFormat="1" x14ac:dyDescent="0.25">
      <c r="A296" s="262"/>
      <c r="B296" s="244"/>
      <c r="C296" s="428"/>
      <c r="D296" s="428"/>
      <c r="E296" s="298"/>
      <c r="F296" s="831"/>
      <c r="G296"/>
      <c r="H296"/>
      <c r="I296" s="245"/>
      <c r="J296" s="295"/>
      <c r="K296" s="124"/>
      <c r="L296" s="299"/>
      <c r="M296" s="299"/>
      <c r="N296" s="299"/>
      <c r="O296" s="299"/>
      <c r="P296" s="299"/>
      <c r="Q296" s="299"/>
      <c r="R296" s="299"/>
      <c r="S296" s="299"/>
      <c r="T296" s="299"/>
      <c r="U296" s="124"/>
      <c r="V296" s="298"/>
      <c r="W296"/>
      <c r="X296"/>
      <c r="Y296"/>
      <c r="Z296" s="245"/>
      <c r="AA296" s="295"/>
      <c r="AB296" s="124"/>
      <c r="AC296" s="299"/>
      <c r="AD296" s="299"/>
      <c r="AE296" s="299"/>
      <c r="AF296" s="299"/>
      <c r="AG296" s="299"/>
      <c r="AH296" s="299"/>
      <c r="AI296" s="299"/>
      <c r="AJ296" s="299"/>
      <c r="AK296" s="299"/>
      <c r="AL296"/>
      <c r="AM296" s="124"/>
      <c r="AN296"/>
    </row>
    <row r="297" spans="1:40" s="379" customFormat="1" x14ac:dyDescent="0.25">
      <c r="A297" s="262"/>
      <c r="B297" s="244"/>
      <c r="C297" s="428"/>
      <c r="D297" s="428"/>
      <c r="E297" s="298"/>
      <c r="F297" s="831"/>
      <c r="G297"/>
      <c r="H297"/>
      <c r="I297" s="245"/>
      <c r="J297" s="295"/>
      <c r="K297" s="124"/>
      <c r="L297" s="299"/>
      <c r="M297" s="299"/>
      <c r="N297" s="299"/>
      <c r="O297" s="299"/>
      <c r="P297" s="299"/>
      <c r="Q297" s="299"/>
      <c r="R297" s="299"/>
      <c r="S297" s="299"/>
      <c r="T297" s="299"/>
      <c r="U297" s="124"/>
      <c r="V297" s="298"/>
      <c r="W297"/>
      <c r="X297"/>
      <c r="Y297"/>
      <c r="Z297" s="245"/>
      <c r="AA297" s="295"/>
      <c r="AB297" s="124"/>
      <c r="AC297" s="299"/>
      <c r="AD297" s="299"/>
      <c r="AE297" s="299"/>
      <c r="AF297" s="299"/>
      <c r="AG297" s="299"/>
      <c r="AH297" s="299"/>
      <c r="AI297" s="299"/>
      <c r="AJ297" s="299"/>
      <c r="AK297" s="299"/>
      <c r="AL297"/>
      <c r="AM297" s="124"/>
      <c r="AN297"/>
    </row>
    <row r="298" spans="1:40" s="379" customFormat="1" x14ac:dyDescent="0.25">
      <c r="A298" s="262"/>
      <c r="B298" s="244"/>
      <c r="C298" s="428"/>
      <c r="D298" s="428"/>
      <c r="E298" s="298"/>
      <c r="F298" s="831"/>
      <c r="G298"/>
      <c r="H298"/>
      <c r="I298" s="245"/>
      <c r="J298" s="295"/>
      <c r="K298" s="124"/>
      <c r="L298" s="299"/>
      <c r="M298" s="299"/>
      <c r="N298" s="299"/>
      <c r="O298" s="299"/>
      <c r="P298" s="299"/>
      <c r="Q298" s="299"/>
      <c r="R298" s="299"/>
      <c r="S298" s="299"/>
      <c r="T298" s="299"/>
      <c r="U298" s="124"/>
      <c r="V298" s="298"/>
      <c r="W298"/>
      <c r="X298"/>
      <c r="Y298"/>
      <c r="Z298" s="245"/>
      <c r="AA298" s="295"/>
      <c r="AB298" s="124"/>
      <c r="AC298" s="299"/>
      <c r="AD298" s="299"/>
      <c r="AE298" s="299"/>
      <c r="AF298" s="299"/>
      <c r="AG298" s="299"/>
      <c r="AH298" s="299"/>
      <c r="AI298" s="299"/>
      <c r="AJ298" s="299"/>
      <c r="AK298" s="299"/>
      <c r="AL298"/>
      <c r="AM298" s="124"/>
      <c r="AN298"/>
    </row>
    <row r="299" spans="1:40" s="379" customFormat="1" x14ac:dyDescent="0.25">
      <c r="A299" s="262"/>
      <c r="B299" s="244"/>
      <c r="C299" s="428"/>
      <c r="D299" s="428"/>
      <c r="E299" s="298"/>
      <c r="F299" s="831"/>
      <c r="G299"/>
      <c r="H299"/>
      <c r="I299" s="245"/>
      <c r="J299" s="295"/>
      <c r="K299" s="124"/>
      <c r="L299" s="299"/>
      <c r="M299" s="299"/>
      <c r="N299" s="299"/>
      <c r="O299" s="299"/>
      <c r="P299" s="299"/>
      <c r="Q299" s="299"/>
      <c r="R299" s="299"/>
      <c r="S299" s="299"/>
      <c r="T299" s="299"/>
      <c r="U299" s="124"/>
      <c r="V299" s="298"/>
      <c r="W299"/>
      <c r="X299"/>
      <c r="Y299"/>
      <c r="Z299" s="245"/>
      <c r="AA299" s="295"/>
      <c r="AB299" s="124"/>
      <c r="AC299" s="299"/>
      <c r="AD299" s="299"/>
      <c r="AE299" s="299"/>
      <c r="AF299" s="299"/>
      <c r="AG299" s="299"/>
      <c r="AH299" s="299"/>
      <c r="AI299" s="299"/>
      <c r="AJ299" s="299"/>
      <c r="AK299" s="299"/>
      <c r="AL299"/>
      <c r="AM299" s="124"/>
      <c r="AN299"/>
    </row>
    <row r="300" spans="1:40" s="381" customFormat="1" x14ac:dyDescent="0.25">
      <c r="A300" s="262"/>
      <c r="B300" s="244"/>
      <c r="C300" s="428"/>
      <c r="D300" s="428"/>
      <c r="E300" s="298"/>
      <c r="F300" s="831"/>
      <c r="G300"/>
      <c r="H300"/>
      <c r="I300" s="245"/>
      <c r="J300" s="295"/>
      <c r="K300" s="124"/>
      <c r="L300" s="299"/>
      <c r="M300" s="299"/>
      <c r="N300" s="299"/>
      <c r="O300" s="299"/>
      <c r="P300" s="299"/>
      <c r="Q300" s="299"/>
      <c r="R300" s="299"/>
      <c r="S300" s="299"/>
      <c r="T300" s="299"/>
      <c r="U300" s="124"/>
      <c r="V300" s="298"/>
      <c r="W300"/>
      <c r="X300"/>
      <c r="Y300"/>
      <c r="Z300" s="245"/>
      <c r="AA300" s="295"/>
      <c r="AB300" s="124"/>
      <c r="AC300" s="299"/>
      <c r="AD300" s="299"/>
      <c r="AE300" s="299"/>
      <c r="AF300" s="299"/>
      <c r="AG300" s="299"/>
      <c r="AH300" s="299"/>
      <c r="AI300" s="299"/>
      <c r="AJ300" s="299"/>
      <c r="AK300" s="299"/>
      <c r="AL300"/>
      <c r="AM300" s="124"/>
      <c r="AN300"/>
    </row>
    <row r="301" spans="1:40" s="379" customFormat="1" x14ac:dyDescent="0.25">
      <c r="A301" s="262"/>
      <c r="B301" s="244"/>
      <c r="C301" s="428"/>
      <c r="D301" s="428"/>
      <c r="E301" s="298"/>
      <c r="F301" s="831"/>
      <c r="G301"/>
      <c r="H301"/>
      <c r="I301" s="245"/>
      <c r="J301" s="295"/>
      <c r="K301" s="124"/>
      <c r="L301" s="299"/>
      <c r="M301" s="299"/>
      <c r="N301" s="299"/>
      <c r="O301" s="299"/>
      <c r="P301" s="299"/>
      <c r="Q301" s="299"/>
      <c r="R301" s="299"/>
      <c r="S301" s="299"/>
      <c r="T301" s="299"/>
      <c r="U301" s="124"/>
      <c r="V301" s="298"/>
      <c r="W301"/>
      <c r="X301"/>
      <c r="Y301"/>
      <c r="Z301" s="245"/>
      <c r="AA301" s="295"/>
      <c r="AB301" s="124"/>
      <c r="AC301" s="299"/>
      <c r="AD301" s="299"/>
      <c r="AE301" s="299"/>
      <c r="AF301" s="299"/>
      <c r="AG301" s="299"/>
      <c r="AH301" s="299"/>
      <c r="AI301" s="299"/>
      <c r="AJ301" s="299"/>
      <c r="AK301" s="299"/>
      <c r="AL301"/>
      <c r="AM301" s="124"/>
      <c r="AN301"/>
    </row>
    <row r="302" spans="1:40" s="379" customFormat="1" x14ac:dyDescent="0.25">
      <c r="A302" s="262"/>
      <c r="B302" s="244"/>
      <c r="C302" s="428"/>
      <c r="D302" s="428"/>
      <c r="E302" s="298"/>
      <c r="F302" s="831"/>
      <c r="G302"/>
      <c r="H302"/>
      <c r="I302" s="245"/>
      <c r="J302" s="295"/>
      <c r="K302" s="124"/>
      <c r="L302" s="299"/>
      <c r="M302" s="299"/>
      <c r="N302" s="299"/>
      <c r="O302" s="299"/>
      <c r="P302" s="299"/>
      <c r="Q302" s="299"/>
      <c r="R302" s="299"/>
      <c r="S302" s="299"/>
      <c r="T302" s="299"/>
      <c r="U302" s="124"/>
      <c r="V302" s="298"/>
      <c r="W302"/>
      <c r="X302"/>
      <c r="Y302"/>
      <c r="Z302" s="245"/>
      <c r="AA302" s="295"/>
      <c r="AB302" s="124"/>
      <c r="AC302" s="299"/>
      <c r="AD302" s="299"/>
      <c r="AE302" s="299"/>
      <c r="AF302" s="299"/>
      <c r="AG302" s="299"/>
      <c r="AH302" s="299"/>
      <c r="AI302" s="299"/>
      <c r="AJ302" s="299"/>
      <c r="AK302" s="299"/>
      <c r="AL302"/>
      <c r="AM302" s="124"/>
      <c r="AN302"/>
    </row>
    <row r="303" spans="1:40" s="379" customFormat="1" x14ac:dyDescent="0.25">
      <c r="A303" s="262"/>
      <c r="B303" s="244"/>
      <c r="C303" s="428"/>
      <c r="D303" s="428"/>
      <c r="E303" s="298"/>
      <c r="F303" s="831"/>
      <c r="G303"/>
      <c r="H303"/>
      <c r="I303" s="245"/>
      <c r="J303" s="295"/>
      <c r="K303" s="124"/>
      <c r="L303" s="299"/>
      <c r="M303" s="299"/>
      <c r="N303" s="299"/>
      <c r="O303" s="299"/>
      <c r="P303" s="299"/>
      <c r="Q303" s="299"/>
      <c r="R303" s="299"/>
      <c r="S303" s="299"/>
      <c r="T303" s="299"/>
      <c r="U303" s="124"/>
      <c r="V303" s="298"/>
      <c r="W303"/>
      <c r="X303"/>
      <c r="Y303"/>
      <c r="Z303" s="245"/>
      <c r="AA303" s="295"/>
      <c r="AB303" s="124"/>
      <c r="AC303" s="299"/>
      <c r="AD303" s="299"/>
      <c r="AE303" s="299"/>
      <c r="AF303" s="299"/>
      <c r="AG303" s="299"/>
      <c r="AH303" s="299"/>
      <c r="AI303" s="299"/>
      <c r="AJ303" s="299"/>
      <c r="AK303" s="299"/>
      <c r="AL303"/>
      <c r="AM303" s="124"/>
      <c r="AN303"/>
    </row>
    <row r="304" spans="1:40" s="379" customFormat="1" x14ac:dyDescent="0.25">
      <c r="A304" s="262"/>
      <c r="B304" s="244"/>
      <c r="C304" s="428"/>
      <c r="D304" s="428"/>
      <c r="E304" s="298"/>
      <c r="F304" s="831"/>
      <c r="G304"/>
      <c r="H304"/>
      <c r="I304" s="245"/>
      <c r="J304" s="295"/>
      <c r="K304" s="124"/>
      <c r="L304" s="299"/>
      <c r="M304" s="299"/>
      <c r="N304" s="299"/>
      <c r="O304" s="299"/>
      <c r="P304" s="299"/>
      <c r="Q304" s="299"/>
      <c r="R304" s="299"/>
      <c r="S304" s="299"/>
      <c r="T304" s="299"/>
      <c r="U304" s="124"/>
      <c r="V304" s="298"/>
      <c r="W304"/>
      <c r="X304"/>
      <c r="Y304"/>
      <c r="Z304" s="245"/>
      <c r="AA304" s="295"/>
      <c r="AB304" s="124"/>
      <c r="AC304" s="299"/>
      <c r="AD304" s="299"/>
      <c r="AE304" s="299"/>
      <c r="AF304" s="299"/>
      <c r="AG304" s="299"/>
      <c r="AH304" s="299"/>
      <c r="AI304" s="299"/>
      <c r="AJ304" s="299"/>
      <c r="AK304" s="299"/>
      <c r="AL304"/>
      <c r="AM304" s="124"/>
      <c r="AN304"/>
    </row>
    <row r="305" spans="1:41" s="379" customFormat="1" x14ac:dyDescent="0.25">
      <c r="A305" s="262"/>
      <c r="B305" s="244"/>
      <c r="C305" s="428"/>
      <c r="D305" s="428"/>
      <c r="E305" s="298"/>
      <c r="F305" s="831"/>
      <c r="G305"/>
      <c r="H305"/>
      <c r="I305" s="245"/>
      <c r="J305" s="295"/>
      <c r="K305" s="124"/>
      <c r="L305" s="299"/>
      <c r="M305" s="299"/>
      <c r="N305" s="299"/>
      <c r="O305" s="299"/>
      <c r="P305" s="299"/>
      <c r="Q305" s="299"/>
      <c r="R305" s="299"/>
      <c r="S305" s="299"/>
      <c r="T305" s="299"/>
      <c r="U305" s="124"/>
      <c r="V305" s="298"/>
      <c r="W305"/>
      <c r="X305"/>
      <c r="Y305"/>
      <c r="Z305" s="245"/>
      <c r="AA305" s="295"/>
      <c r="AB305" s="124"/>
      <c r="AC305" s="299"/>
      <c r="AD305" s="299"/>
      <c r="AE305" s="299"/>
      <c r="AF305" s="299"/>
      <c r="AG305" s="299"/>
      <c r="AH305" s="299"/>
      <c r="AI305" s="299"/>
      <c r="AJ305" s="299"/>
      <c r="AK305" s="299"/>
      <c r="AL305"/>
      <c r="AM305" s="124"/>
      <c r="AN305"/>
    </row>
    <row r="306" spans="1:41" s="453" customFormat="1" x14ac:dyDescent="0.25">
      <c r="A306" s="262"/>
      <c r="B306" s="244"/>
      <c r="C306" s="428"/>
      <c r="D306" s="428"/>
      <c r="E306" s="298"/>
      <c r="F306" s="831"/>
      <c r="G306"/>
      <c r="H306"/>
      <c r="I306" s="245"/>
      <c r="J306" s="295"/>
      <c r="K306" s="124"/>
      <c r="L306" s="299"/>
      <c r="M306" s="299"/>
      <c r="N306" s="299"/>
      <c r="O306" s="299"/>
      <c r="P306" s="299"/>
      <c r="Q306" s="299"/>
      <c r="R306" s="299"/>
      <c r="S306" s="299"/>
      <c r="T306" s="299"/>
      <c r="U306" s="124"/>
      <c r="V306" s="298"/>
      <c r="W306"/>
      <c r="X306"/>
      <c r="Y306"/>
      <c r="Z306" s="245"/>
      <c r="AA306" s="295"/>
      <c r="AB306" s="124"/>
      <c r="AC306" s="299"/>
      <c r="AD306" s="299"/>
      <c r="AE306" s="299"/>
      <c r="AF306" s="299"/>
      <c r="AG306" s="299"/>
      <c r="AH306" s="299"/>
      <c r="AI306" s="299"/>
      <c r="AJ306" s="299"/>
      <c r="AK306" s="299"/>
      <c r="AL306"/>
      <c r="AM306" s="124"/>
      <c r="AN306"/>
    </row>
    <row r="307" spans="1:41" s="379" customFormat="1" x14ac:dyDescent="0.25">
      <c r="A307" s="262"/>
      <c r="B307" s="244"/>
      <c r="C307" s="428"/>
      <c r="D307" s="428"/>
      <c r="E307" s="298"/>
      <c r="F307" s="831"/>
      <c r="G307"/>
      <c r="H307"/>
      <c r="I307" s="245"/>
      <c r="J307" s="295"/>
      <c r="K307" s="124"/>
      <c r="L307" s="299"/>
      <c r="M307" s="299"/>
      <c r="N307" s="299"/>
      <c r="O307" s="299"/>
      <c r="P307" s="299"/>
      <c r="Q307" s="299"/>
      <c r="R307" s="299"/>
      <c r="S307" s="299"/>
      <c r="T307" s="299"/>
      <c r="U307" s="124"/>
      <c r="V307" s="298"/>
      <c r="W307"/>
      <c r="X307"/>
      <c r="Y307"/>
      <c r="Z307" s="245"/>
      <c r="AA307" s="295"/>
      <c r="AB307" s="124"/>
      <c r="AC307" s="299"/>
      <c r="AD307" s="299"/>
      <c r="AE307" s="299"/>
      <c r="AF307" s="299"/>
      <c r="AG307" s="299"/>
      <c r="AH307" s="299"/>
      <c r="AI307" s="299"/>
      <c r="AJ307" s="299"/>
      <c r="AK307" s="299"/>
      <c r="AL307"/>
      <c r="AM307" s="124"/>
      <c r="AN307"/>
    </row>
    <row r="308" spans="1:41" s="379" customFormat="1" x14ac:dyDescent="0.25">
      <c r="A308" s="262"/>
      <c r="B308" s="244"/>
      <c r="C308" s="428"/>
      <c r="D308" s="428"/>
      <c r="E308" s="298"/>
      <c r="F308" s="831"/>
      <c r="G308"/>
      <c r="H308"/>
      <c r="I308" s="245"/>
      <c r="J308" s="295"/>
      <c r="K308" s="124"/>
      <c r="L308" s="299"/>
      <c r="M308" s="299"/>
      <c r="N308" s="299"/>
      <c r="O308" s="299"/>
      <c r="P308" s="299"/>
      <c r="Q308" s="299"/>
      <c r="R308" s="299"/>
      <c r="S308" s="299"/>
      <c r="T308" s="299"/>
      <c r="U308" s="124"/>
      <c r="V308" s="298"/>
      <c r="W308"/>
      <c r="X308"/>
      <c r="Y308"/>
      <c r="Z308" s="245"/>
      <c r="AA308" s="295"/>
      <c r="AB308" s="124"/>
      <c r="AC308" s="299"/>
      <c r="AD308" s="299"/>
      <c r="AE308" s="299"/>
      <c r="AF308" s="299"/>
      <c r="AG308" s="299"/>
      <c r="AH308" s="299"/>
      <c r="AI308" s="299"/>
      <c r="AJ308" s="299"/>
      <c r="AK308" s="299"/>
      <c r="AL308"/>
      <c r="AM308" s="124"/>
      <c r="AN308"/>
    </row>
    <row r="309" spans="1:41" s="379" customFormat="1" x14ac:dyDescent="0.25">
      <c r="A309" s="262"/>
      <c r="B309" s="244"/>
      <c r="C309" s="428"/>
      <c r="D309" s="428"/>
      <c r="E309" s="298"/>
      <c r="F309" s="831"/>
      <c r="G309"/>
      <c r="H309"/>
      <c r="I309" s="245"/>
      <c r="J309" s="295"/>
      <c r="K309" s="124"/>
      <c r="L309" s="299"/>
      <c r="M309" s="299"/>
      <c r="N309" s="299"/>
      <c r="O309" s="299"/>
      <c r="P309" s="299"/>
      <c r="Q309" s="299"/>
      <c r="R309" s="299"/>
      <c r="S309" s="299"/>
      <c r="T309" s="299"/>
      <c r="U309" s="124"/>
      <c r="V309" s="298"/>
      <c r="W309"/>
      <c r="X309"/>
      <c r="Y309"/>
      <c r="Z309" s="245"/>
      <c r="AA309" s="295"/>
      <c r="AB309" s="124"/>
      <c r="AC309" s="299"/>
      <c r="AD309" s="299"/>
      <c r="AE309" s="299"/>
      <c r="AF309" s="299"/>
      <c r="AG309" s="299"/>
      <c r="AH309" s="299"/>
      <c r="AI309" s="299"/>
      <c r="AJ309" s="299"/>
      <c r="AK309" s="299"/>
      <c r="AL309"/>
      <c r="AM309" s="124"/>
      <c r="AN309"/>
    </row>
    <row r="310" spans="1:41" s="379" customFormat="1" x14ac:dyDescent="0.25">
      <c r="A310" s="262"/>
      <c r="B310" s="244"/>
      <c r="C310" s="428"/>
      <c r="D310" s="428"/>
      <c r="E310" s="298"/>
      <c r="F310" s="831"/>
      <c r="G310"/>
      <c r="H310"/>
      <c r="I310" s="245"/>
      <c r="J310" s="295"/>
      <c r="K310" s="124"/>
      <c r="L310" s="299"/>
      <c r="M310" s="299"/>
      <c r="N310" s="299"/>
      <c r="O310" s="299"/>
      <c r="P310" s="299"/>
      <c r="Q310" s="299"/>
      <c r="R310" s="299"/>
      <c r="S310" s="299"/>
      <c r="T310" s="299"/>
      <c r="U310" s="124"/>
      <c r="V310" s="298"/>
      <c r="W310"/>
      <c r="X310"/>
      <c r="Y310"/>
      <c r="Z310" s="245"/>
      <c r="AA310" s="295"/>
      <c r="AB310" s="124"/>
      <c r="AC310" s="299"/>
      <c r="AD310" s="299"/>
      <c r="AE310" s="299"/>
      <c r="AF310" s="299"/>
      <c r="AG310" s="299"/>
      <c r="AH310" s="299"/>
      <c r="AI310" s="299"/>
      <c r="AJ310" s="299"/>
      <c r="AK310" s="299"/>
      <c r="AL310"/>
      <c r="AM310" s="124"/>
      <c r="AN310"/>
    </row>
    <row r="311" spans="1:41" s="381" customFormat="1" x14ac:dyDescent="0.25">
      <c r="A311" s="262"/>
      <c r="B311" s="244"/>
      <c r="C311" s="428"/>
      <c r="D311" s="428"/>
      <c r="E311" s="298"/>
      <c r="F311" s="831"/>
      <c r="G311"/>
      <c r="H311"/>
      <c r="I311" s="245"/>
      <c r="J311" s="295"/>
      <c r="K311" s="124"/>
      <c r="L311" s="299"/>
      <c r="M311" s="299"/>
      <c r="N311" s="299"/>
      <c r="O311" s="299"/>
      <c r="P311" s="299"/>
      <c r="Q311" s="299"/>
      <c r="R311" s="299"/>
      <c r="S311" s="299"/>
      <c r="T311" s="299"/>
      <c r="U311" s="124"/>
      <c r="V311" s="298"/>
      <c r="W311"/>
      <c r="X311"/>
      <c r="Y311"/>
      <c r="Z311" s="245"/>
      <c r="AA311" s="295"/>
      <c r="AB311" s="124"/>
      <c r="AC311" s="299"/>
      <c r="AD311" s="299"/>
      <c r="AE311" s="299"/>
      <c r="AF311" s="299"/>
      <c r="AG311" s="299"/>
      <c r="AH311" s="299"/>
      <c r="AI311" s="299"/>
      <c r="AJ311" s="299"/>
      <c r="AK311" s="299"/>
      <c r="AL311"/>
      <c r="AM311" s="124"/>
      <c r="AN311"/>
    </row>
    <row r="312" spans="1:41" s="381" customFormat="1" x14ac:dyDescent="0.25">
      <c r="A312" s="262"/>
      <c r="B312" s="244"/>
      <c r="C312" s="428"/>
      <c r="D312" s="428"/>
      <c r="E312" s="298"/>
      <c r="F312" s="831"/>
      <c r="G312"/>
      <c r="H312"/>
      <c r="I312" s="245"/>
      <c r="J312" s="295"/>
      <c r="K312" s="124"/>
      <c r="L312" s="299"/>
      <c r="M312" s="299"/>
      <c r="N312" s="299"/>
      <c r="O312" s="299"/>
      <c r="P312" s="299"/>
      <c r="Q312" s="299"/>
      <c r="R312" s="299"/>
      <c r="S312" s="299"/>
      <c r="T312" s="299"/>
      <c r="U312" s="124"/>
      <c r="V312" s="298"/>
      <c r="W312"/>
      <c r="X312"/>
      <c r="Y312"/>
      <c r="Z312" s="245"/>
      <c r="AA312" s="295"/>
      <c r="AB312" s="124"/>
      <c r="AC312" s="299"/>
      <c r="AD312" s="299"/>
      <c r="AE312" s="299"/>
      <c r="AF312" s="299"/>
      <c r="AG312" s="299"/>
      <c r="AH312" s="299"/>
      <c r="AI312" s="299"/>
      <c r="AJ312" s="299"/>
      <c r="AK312" s="299"/>
      <c r="AL312"/>
      <c r="AM312" s="124"/>
      <c r="AN312"/>
    </row>
    <row r="313" spans="1:41" s="381" customFormat="1" x14ac:dyDescent="0.25">
      <c r="A313" s="262"/>
      <c r="B313" s="244"/>
      <c r="C313" s="428"/>
      <c r="D313" s="428"/>
      <c r="E313" s="298"/>
      <c r="F313" s="831"/>
      <c r="G313"/>
      <c r="H313"/>
      <c r="I313" s="245"/>
      <c r="J313" s="295"/>
      <c r="K313" s="124"/>
      <c r="L313" s="299"/>
      <c r="M313" s="299"/>
      <c r="N313" s="299"/>
      <c r="O313" s="299"/>
      <c r="P313" s="299"/>
      <c r="Q313" s="299"/>
      <c r="R313" s="299"/>
      <c r="S313" s="299"/>
      <c r="T313" s="299"/>
      <c r="U313" s="124"/>
      <c r="V313" s="298"/>
      <c r="W313"/>
      <c r="X313"/>
      <c r="Y313"/>
      <c r="Z313" s="245"/>
      <c r="AA313" s="295"/>
      <c r="AB313" s="124"/>
      <c r="AC313" s="299"/>
      <c r="AD313" s="299"/>
      <c r="AE313" s="299"/>
      <c r="AF313" s="299"/>
      <c r="AG313" s="299"/>
      <c r="AH313" s="299"/>
      <c r="AI313" s="299"/>
      <c r="AJ313" s="299"/>
      <c r="AK313" s="299"/>
      <c r="AL313"/>
      <c r="AM313" s="124"/>
      <c r="AN313"/>
    </row>
    <row r="314" spans="1:41" s="381" customFormat="1" x14ac:dyDescent="0.25">
      <c r="A314" s="262"/>
      <c r="B314" s="244"/>
      <c r="C314" s="428"/>
      <c r="D314" s="428"/>
      <c r="E314" s="298"/>
      <c r="F314" s="831"/>
      <c r="G314"/>
      <c r="H314"/>
      <c r="I314" s="245"/>
      <c r="J314" s="295"/>
      <c r="K314" s="124"/>
      <c r="L314" s="299"/>
      <c r="M314" s="299"/>
      <c r="N314" s="299"/>
      <c r="O314" s="299"/>
      <c r="P314" s="299"/>
      <c r="Q314" s="299"/>
      <c r="R314" s="299"/>
      <c r="S314" s="299"/>
      <c r="T314" s="299"/>
      <c r="U314" s="124"/>
      <c r="V314" s="298"/>
      <c r="W314"/>
      <c r="X314"/>
      <c r="Y314"/>
      <c r="Z314" s="245"/>
      <c r="AA314" s="295"/>
      <c r="AB314" s="124"/>
      <c r="AC314" s="299"/>
      <c r="AD314" s="299"/>
      <c r="AE314" s="299"/>
      <c r="AF314" s="299"/>
      <c r="AG314" s="299"/>
      <c r="AH314" s="299"/>
      <c r="AI314" s="299"/>
      <c r="AJ314" s="299"/>
      <c r="AK314" s="299"/>
      <c r="AL314"/>
      <c r="AM314" s="124"/>
      <c r="AN314"/>
    </row>
    <row r="315" spans="1:41" s="381" customFormat="1" x14ac:dyDescent="0.25">
      <c r="A315" s="262"/>
      <c r="B315" s="244"/>
      <c r="C315" s="428"/>
      <c r="D315" s="428"/>
      <c r="E315" s="298"/>
      <c r="F315" s="831"/>
      <c r="G315"/>
      <c r="H315"/>
      <c r="I315" s="245"/>
      <c r="J315" s="295"/>
      <c r="K315" s="124"/>
      <c r="L315" s="299"/>
      <c r="M315" s="299"/>
      <c r="N315" s="299"/>
      <c r="O315" s="299"/>
      <c r="P315" s="299"/>
      <c r="Q315" s="299"/>
      <c r="R315" s="299"/>
      <c r="S315" s="299"/>
      <c r="T315" s="299"/>
      <c r="U315" s="124"/>
      <c r="V315" s="298"/>
      <c r="W315"/>
      <c r="X315"/>
      <c r="Y315"/>
      <c r="Z315" s="245"/>
      <c r="AA315" s="295"/>
      <c r="AB315" s="124"/>
      <c r="AC315" s="299"/>
      <c r="AD315" s="299"/>
      <c r="AE315" s="299"/>
      <c r="AF315" s="299"/>
      <c r="AG315" s="299"/>
      <c r="AH315" s="299"/>
      <c r="AI315" s="299"/>
      <c r="AJ315" s="299"/>
      <c r="AK315" s="299"/>
      <c r="AL315"/>
      <c r="AM315" s="124"/>
      <c r="AN315"/>
      <c r="AO315" s="526" t="s">
        <v>202</v>
      </c>
    </row>
    <row r="316" spans="1:41" s="381" customFormat="1" x14ac:dyDescent="0.25">
      <c r="A316" s="262"/>
      <c r="B316" s="244"/>
      <c r="C316" s="428"/>
      <c r="D316" s="428"/>
      <c r="E316" s="298"/>
      <c r="F316" s="831"/>
      <c r="G316"/>
      <c r="H316"/>
      <c r="I316" s="245"/>
      <c r="J316" s="295"/>
      <c r="K316" s="124"/>
      <c r="L316" s="299"/>
      <c r="M316" s="299"/>
      <c r="N316" s="299"/>
      <c r="O316" s="299"/>
      <c r="P316" s="299"/>
      <c r="Q316" s="299"/>
      <c r="R316" s="299"/>
      <c r="S316" s="299"/>
      <c r="T316" s="299"/>
      <c r="U316" s="124"/>
      <c r="V316" s="298"/>
      <c r="W316"/>
      <c r="X316"/>
      <c r="Y316"/>
      <c r="Z316" s="245"/>
      <c r="AA316" s="295"/>
      <c r="AB316" s="124"/>
      <c r="AC316" s="299"/>
      <c r="AD316" s="299"/>
      <c r="AE316" s="299"/>
      <c r="AF316" s="299"/>
      <c r="AG316" s="299"/>
      <c r="AH316" s="299"/>
      <c r="AI316" s="299"/>
      <c r="AJ316" s="299"/>
      <c r="AK316" s="299"/>
      <c r="AL316"/>
      <c r="AM316" s="124"/>
      <c r="AN316"/>
      <c r="AO316" s="526" t="s">
        <v>202</v>
      </c>
    </row>
    <row r="317" spans="1:41" s="123" customFormat="1" x14ac:dyDescent="0.25">
      <c r="A317" s="262"/>
      <c r="B317" s="244"/>
      <c r="C317" s="428"/>
      <c r="D317" s="428"/>
      <c r="E317" s="298"/>
      <c r="F317" s="831"/>
      <c r="G317"/>
      <c r="H317"/>
      <c r="I317" s="245"/>
      <c r="J317" s="295"/>
      <c r="K317" s="124"/>
      <c r="L317" s="299"/>
      <c r="M317" s="299"/>
      <c r="N317" s="299"/>
      <c r="O317" s="299"/>
      <c r="P317" s="299"/>
      <c r="Q317" s="299"/>
      <c r="R317" s="299"/>
      <c r="S317" s="299"/>
      <c r="T317" s="299"/>
      <c r="U317" s="124"/>
      <c r="V317" s="298"/>
      <c r="W317"/>
      <c r="X317"/>
      <c r="Y317"/>
      <c r="Z317" s="245"/>
      <c r="AA317" s="295"/>
      <c r="AB317" s="124"/>
      <c r="AC317" s="299"/>
      <c r="AD317" s="299"/>
      <c r="AE317" s="299"/>
      <c r="AF317" s="299"/>
      <c r="AG317" s="299"/>
      <c r="AH317" s="299"/>
      <c r="AI317" s="299"/>
      <c r="AJ317" s="299"/>
      <c r="AK317" s="299"/>
      <c r="AL317"/>
      <c r="AM317" s="124"/>
      <c r="AN317"/>
    </row>
    <row r="318" spans="1:41" s="39" customFormat="1" x14ac:dyDescent="0.25">
      <c r="A318" s="262"/>
      <c r="B318" s="244"/>
      <c r="C318" s="428"/>
      <c r="D318" s="428"/>
      <c r="E318" s="298"/>
      <c r="F318" s="831"/>
      <c r="G318"/>
      <c r="H318"/>
      <c r="I318" s="245"/>
      <c r="J318" s="295"/>
      <c r="K318" s="124"/>
      <c r="L318" s="299"/>
      <c r="M318" s="299"/>
      <c r="N318" s="299"/>
      <c r="O318" s="299"/>
      <c r="P318" s="299"/>
      <c r="Q318" s="299"/>
      <c r="R318" s="299"/>
      <c r="S318" s="299"/>
      <c r="T318" s="299"/>
      <c r="U318" s="124"/>
      <c r="V318" s="298"/>
      <c r="W318"/>
      <c r="X318"/>
      <c r="Y318"/>
      <c r="Z318" s="245"/>
      <c r="AA318" s="295"/>
      <c r="AB318" s="124"/>
      <c r="AC318" s="299"/>
      <c r="AD318" s="299"/>
      <c r="AE318" s="299"/>
      <c r="AF318" s="299"/>
      <c r="AG318" s="299"/>
      <c r="AH318" s="299"/>
      <c r="AI318" s="299"/>
      <c r="AJ318" s="299"/>
      <c r="AK318" s="299"/>
      <c r="AL318"/>
      <c r="AM318" s="124"/>
      <c r="AN318"/>
      <c r="AO318" s="454"/>
    </row>
    <row r="319" spans="1:41" s="350" customFormat="1" ht="11.25" customHeight="1" x14ac:dyDescent="0.25">
      <c r="A319" s="262"/>
      <c r="B319" s="244"/>
      <c r="C319" s="428"/>
      <c r="D319" s="428"/>
      <c r="E319" s="298"/>
      <c r="F319" s="831"/>
      <c r="G319"/>
      <c r="H319"/>
      <c r="I319" s="245"/>
      <c r="J319" s="295"/>
      <c r="K319" s="124"/>
      <c r="L319" s="299"/>
      <c r="M319" s="299"/>
      <c r="N319" s="299"/>
      <c r="O319" s="299"/>
      <c r="P319" s="299"/>
      <c r="Q319" s="299"/>
      <c r="R319" s="299"/>
      <c r="S319" s="299"/>
      <c r="T319" s="299"/>
      <c r="U319" s="124"/>
      <c r="V319" s="298"/>
      <c r="W319"/>
      <c r="X319"/>
      <c r="Y319"/>
      <c r="Z319" s="245"/>
      <c r="AA319" s="295"/>
      <c r="AB319" s="124"/>
      <c r="AC319" s="299"/>
      <c r="AD319" s="299"/>
      <c r="AE319" s="299"/>
      <c r="AF319" s="299"/>
      <c r="AG319" s="299"/>
      <c r="AH319" s="299"/>
      <c r="AI319" s="299"/>
      <c r="AJ319" s="299"/>
      <c r="AK319" s="299"/>
      <c r="AL319"/>
      <c r="AM319" s="124"/>
      <c r="AN319"/>
      <c r="AO319" s="526"/>
    </row>
    <row r="320" spans="1:41" s="30" customFormat="1" ht="13.5" customHeight="1" x14ac:dyDescent="0.25">
      <c r="A320" s="262"/>
      <c r="B320" s="244"/>
      <c r="C320" s="428"/>
      <c r="D320" s="428"/>
      <c r="E320" s="298"/>
      <c r="F320" s="831"/>
      <c r="G320"/>
      <c r="H320"/>
      <c r="I320" s="245"/>
      <c r="J320" s="295"/>
      <c r="K320" s="124"/>
      <c r="L320" s="299"/>
      <c r="M320" s="299"/>
      <c r="N320" s="299"/>
      <c r="O320" s="299"/>
      <c r="P320" s="299"/>
      <c r="Q320" s="299"/>
      <c r="R320" s="299"/>
      <c r="S320" s="299"/>
      <c r="T320" s="299"/>
      <c r="U320" s="124"/>
      <c r="V320" s="298"/>
      <c r="W320"/>
      <c r="X320"/>
      <c r="Y320"/>
      <c r="Z320" s="245"/>
      <c r="AA320" s="295"/>
      <c r="AB320" s="124"/>
      <c r="AC320" s="299"/>
      <c r="AD320" s="299"/>
      <c r="AE320" s="299"/>
      <c r="AF320" s="299"/>
      <c r="AG320" s="299"/>
      <c r="AH320" s="299"/>
      <c r="AI320" s="299"/>
      <c r="AJ320" s="299"/>
      <c r="AK320" s="299"/>
      <c r="AL320"/>
      <c r="AM320" s="124"/>
      <c r="AN320"/>
    </row>
    <row r="321" spans="1:40" s="389" customFormat="1" x14ac:dyDescent="0.25">
      <c r="A321" s="262"/>
      <c r="B321" s="244"/>
      <c r="C321" s="428"/>
      <c r="D321" s="428"/>
      <c r="E321" s="298"/>
      <c r="F321" s="831"/>
      <c r="G321"/>
      <c r="H321"/>
      <c r="I321" s="245"/>
      <c r="J321" s="295"/>
      <c r="K321" s="124"/>
      <c r="L321" s="299"/>
      <c r="M321" s="299"/>
      <c r="N321" s="299"/>
      <c r="O321" s="299"/>
      <c r="P321" s="299"/>
      <c r="Q321" s="299"/>
      <c r="R321" s="299"/>
      <c r="S321" s="299"/>
      <c r="T321" s="299"/>
      <c r="U321" s="124"/>
      <c r="V321" s="298"/>
      <c r="W321"/>
      <c r="X321"/>
      <c r="Y321"/>
      <c r="Z321" s="245"/>
      <c r="AA321" s="295"/>
      <c r="AB321" s="124"/>
      <c r="AC321" s="299"/>
      <c r="AD321" s="299"/>
      <c r="AE321" s="299"/>
      <c r="AF321" s="299"/>
      <c r="AG321" s="299"/>
      <c r="AH321" s="299"/>
      <c r="AI321" s="299"/>
      <c r="AJ321" s="299"/>
      <c r="AK321" s="299"/>
      <c r="AL321"/>
      <c r="AM321" s="124"/>
      <c r="AN321"/>
    </row>
    <row r="322" spans="1:40" s="39" customFormat="1" x14ac:dyDescent="0.25">
      <c r="A322" s="262"/>
      <c r="B322" s="244"/>
      <c r="C322" s="428"/>
      <c r="D322" s="428"/>
      <c r="E322" s="298"/>
      <c r="F322" s="831"/>
      <c r="G322"/>
      <c r="H322"/>
      <c r="I322" s="245"/>
      <c r="J322" s="295"/>
      <c r="K322" s="124"/>
      <c r="L322" s="299"/>
      <c r="M322" s="299"/>
      <c r="N322" s="299"/>
      <c r="O322" s="299"/>
      <c r="P322" s="299"/>
      <c r="Q322" s="299"/>
      <c r="R322" s="299"/>
      <c r="S322" s="299"/>
      <c r="T322" s="299"/>
      <c r="U322" s="124"/>
      <c r="V322" s="298"/>
      <c r="W322"/>
      <c r="X322"/>
      <c r="Y322"/>
      <c r="Z322" s="245"/>
      <c r="AA322" s="295"/>
      <c r="AB322" s="124"/>
      <c r="AC322" s="299"/>
      <c r="AD322" s="299"/>
      <c r="AE322" s="299"/>
      <c r="AF322" s="299"/>
      <c r="AG322" s="299"/>
      <c r="AH322" s="299"/>
      <c r="AI322" s="299"/>
      <c r="AJ322" s="299"/>
      <c r="AK322" s="299"/>
      <c r="AL322"/>
      <c r="AM322" s="124"/>
      <c r="AN322"/>
    </row>
    <row r="323" spans="1:40" s="39" customFormat="1" x14ac:dyDescent="0.25">
      <c r="A323" s="262"/>
      <c r="B323" s="244"/>
      <c r="C323" s="428"/>
      <c r="D323" s="428"/>
      <c r="E323" s="298"/>
      <c r="F323" s="831"/>
      <c r="G323"/>
      <c r="H323"/>
      <c r="I323" s="245"/>
      <c r="J323" s="295"/>
      <c r="K323" s="124"/>
      <c r="L323" s="299"/>
      <c r="M323" s="299"/>
      <c r="N323" s="299"/>
      <c r="O323" s="299"/>
      <c r="P323" s="299"/>
      <c r="Q323" s="299"/>
      <c r="R323" s="299"/>
      <c r="S323" s="299"/>
      <c r="T323" s="299"/>
      <c r="U323" s="124"/>
      <c r="V323" s="298"/>
      <c r="W323"/>
      <c r="X323"/>
      <c r="Y323"/>
      <c r="Z323" s="245"/>
      <c r="AA323" s="295"/>
      <c r="AB323" s="124"/>
      <c r="AC323" s="299"/>
      <c r="AD323" s="299"/>
      <c r="AE323" s="299"/>
      <c r="AF323" s="299"/>
      <c r="AG323" s="299"/>
      <c r="AH323" s="299"/>
      <c r="AI323" s="299"/>
      <c r="AJ323" s="299"/>
      <c r="AK323" s="299"/>
      <c r="AL323"/>
      <c r="AM323" s="124"/>
      <c r="AN323"/>
    </row>
    <row r="324" spans="1:40" s="30" customFormat="1" x14ac:dyDescent="0.25">
      <c r="A324" s="262"/>
      <c r="B324" s="244"/>
      <c r="C324" s="428"/>
      <c r="D324" s="428"/>
      <c r="E324" s="298"/>
      <c r="F324" s="831"/>
      <c r="G324"/>
      <c r="H324"/>
      <c r="I324" s="245"/>
      <c r="J324" s="295"/>
      <c r="K324" s="124"/>
      <c r="L324" s="299"/>
      <c r="M324" s="299"/>
      <c r="N324" s="299"/>
      <c r="O324" s="299"/>
      <c r="P324" s="299"/>
      <c r="Q324" s="299"/>
      <c r="R324" s="299"/>
      <c r="S324" s="299"/>
      <c r="T324" s="299"/>
      <c r="U324" s="124"/>
      <c r="V324" s="298"/>
      <c r="W324"/>
      <c r="X324"/>
      <c r="Y324"/>
      <c r="Z324" s="245"/>
      <c r="AA324" s="295"/>
      <c r="AB324" s="124"/>
      <c r="AC324" s="299"/>
      <c r="AD324" s="299"/>
      <c r="AE324" s="299"/>
      <c r="AF324" s="299"/>
      <c r="AG324" s="299"/>
      <c r="AH324" s="299"/>
      <c r="AI324" s="299"/>
      <c r="AJ324" s="299"/>
      <c r="AK324" s="299"/>
      <c r="AL324"/>
      <c r="AM324" s="124"/>
      <c r="AN324"/>
    </row>
    <row r="325" spans="1:40" s="350" customFormat="1" x14ac:dyDescent="0.25">
      <c r="A325" s="262"/>
      <c r="B325" s="244"/>
      <c r="C325" s="428"/>
      <c r="D325" s="428"/>
      <c r="E325" s="298"/>
      <c r="F325" s="831"/>
      <c r="G325"/>
      <c r="H325"/>
      <c r="I325" s="245"/>
      <c r="J325" s="295"/>
      <c r="K325" s="124"/>
      <c r="L325" s="299"/>
      <c r="M325" s="299"/>
      <c r="N325" s="299"/>
      <c r="O325" s="299"/>
      <c r="P325" s="299"/>
      <c r="Q325" s="299"/>
      <c r="R325" s="299"/>
      <c r="S325" s="299"/>
      <c r="T325" s="299"/>
      <c r="U325" s="124"/>
      <c r="V325" s="298"/>
      <c r="W325"/>
      <c r="X325"/>
      <c r="Y325"/>
      <c r="Z325" s="245"/>
      <c r="AA325" s="295"/>
      <c r="AB325" s="124"/>
      <c r="AC325" s="299"/>
      <c r="AD325" s="299"/>
      <c r="AE325" s="299"/>
      <c r="AF325" s="299"/>
      <c r="AG325" s="299"/>
      <c r="AH325" s="299"/>
      <c r="AI325" s="299"/>
      <c r="AJ325" s="299"/>
      <c r="AK325" s="299"/>
      <c r="AL325"/>
      <c r="AM325" s="124"/>
      <c r="AN325"/>
    </row>
    <row r="326" spans="1:40" s="350" customFormat="1" x14ac:dyDescent="0.25">
      <c r="A326" s="262"/>
      <c r="B326" s="244"/>
      <c r="C326" s="428"/>
      <c r="D326" s="428"/>
      <c r="E326" s="298"/>
      <c r="F326" s="831"/>
      <c r="G326"/>
      <c r="H326"/>
      <c r="I326" s="245"/>
      <c r="J326" s="295"/>
      <c r="K326" s="124"/>
      <c r="L326" s="299"/>
      <c r="M326" s="299"/>
      <c r="N326" s="299"/>
      <c r="O326" s="299"/>
      <c r="P326" s="299"/>
      <c r="Q326" s="299"/>
      <c r="R326" s="299"/>
      <c r="S326" s="299"/>
      <c r="T326" s="299"/>
      <c r="U326" s="124"/>
      <c r="V326" s="298"/>
      <c r="W326"/>
      <c r="X326"/>
      <c r="Y326"/>
      <c r="Z326" s="245"/>
      <c r="AA326" s="295"/>
      <c r="AB326" s="124"/>
      <c r="AC326" s="299"/>
      <c r="AD326" s="299"/>
      <c r="AE326" s="299"/>
      <c r="AF326" s="299"/>
      <c r="AG326" s="299"/>
      <c r="AH326" s="299"/>
      <c r="AI326" s="299"/>
      <c r="AJ326" s="299"/>
      <c r="AK326" s="299"/>
      <c r="AL326"/>
      <c r="AM326" s="124"/>
      <c r="AN326"/>
    </row>
    <row r="327" spans="1:40" s="350" customFormat="1" x14ac:dyDescent="0.25">
      <c r="A327" s="262"/>
      <c r="B327" s="244"/>
      <c r="C327" s="428"/>
      <c r="D327" s="428"/>
      <c r="E327" s="298"/>
      <c r="F327" s="831"/>
      <c r="G327"/>
      <c r="H327"/>
      <c r="I327" s="245"/>
      <c r="J327" s="295"/>
      <c r="K327" s="124"/>
      <c r="L327" s="299"/>
      <c r="M327" s="299"/>
      <c r="N327" s="299"/>
      <c r="O327" s="299"/>
      <c r="P327" s="299"/>
      <c r="Q327" s="299"/>
      <c r="R327" s="299"/>
      <c r="S327" s="299"/>
      <c r="T327" s="299"/>
      <c r="U327" s="124"/>
      <c r="V327" s="298"/>
      <c r="W327"/>
      <c r="X327"/>
      <c r="Y327"/>
      <c r="Z327" s="245"/>
      <c r="AA327" s="295"/>
      <c r="AB327" s="124"/>
      <c r="AC327" s="299"/>
      <c r="AD327" s="299"/>
      <c r="AE327" s="299"/>
      <c r="AF327" s="299"/>
      <c r="AG327" s="299"/>
      <c r="AH327" s="299"/>
      <c r="AI327" s="299"/>
      <c r="AJ327" s="299"/>
      <c r="AK327" s="299"/>
      <c r="AL327"/>
      <c r="AM327" s="124"/>
      <c r="AN327"/>
    </row>
    <row r="328" spans="1:40" s="39" customFormat="1" x14ac:dyDescent="0.25">
      <c r="A328" s="262"/>
      <c r="B328" s="244"/>
      <c r="C328" s="428"/>
      <c r="D328" s="428"/>
      <c r="E328" s="298"/>
      <c r="F328" s="831"/>
      <c r="G328"/>
      <c r="H328"/>
      <c r="I328" s="245"/>
      <c r="J328" s="295"/>
      <c r="K328" s="124"/>
      <c r="L328" s="299"/>
      <c r="M328" s="299"/>
      <c r="N328" s="299"/>
      <c r="O328" s="299"/>
      <c r="P328" s="299"/>
      <c r="Q328" s="299"/>
      <c r="R328" s="299"/>
      <c r="S328" s="299"/>
      <c r="T328" s="299"/>
      <c r="U328" s="124"/>
      <c r="V328" s="298"/>
      <c r="W328"/>
      <c r="X328"/>
      <c r="Y328"/>
      <c r="Z328" s="245"/>
      <c r="AA328" s="295"/>
      <c r="AB328" s="124"/>
      <c r="AC328" s="299"/>
      <c r="AD328" s="299"/>
      <c r="AE328" s="299"/>
      <c r="AF328" s="299"/>
      <c r="AG328" s="299"/>
      <c r="AH328" s="299"/>
      <c r="AI328" s="299"/>
      <c r="AJ328" s="299"/>
      <c r="AK328" s="299"/>
      <c r="AL328"/>
      <c r="AM328" s="124"/>
      <c r="AN328"/>
    </row>
    <row r="329" spans="1:40" s="39" customFormat="1" x14ac:dyDescent="0.25">
      <c r="A329" s="262"/>
      <c r="B329" s="244"/>
      <c r="C329" s="428"/>
      <c r="D329" s="428"/>
      <c r="E329" s="298"/>
      <c r="F329" s="831"/>
      <c r="G329"/>
      <c r="H329"/>
      <c r="I329" s="245"/>
      <c r="J329" s="295"/>
      <c r="K329" s="124"/>
      <c r="L329" s="299"/>
      <c r="M329" s="299"/>
      <c r="N329" s="299"/>
      <c r="O329" s="299"/>
      <c r="P329" s="299"/>
      <c r="Q329" s="299"/>
      <c r="R329" s="299"/>
      <c r="S329" s="299"/>
      <c r="T329" s="299"/>
      <c r="U329" s="124"/>
      <c r="V329" s="298"/>
      <c r="W329"/>
      <c r="X329"/>
      <c r="Y329"/>
      <c r="Z329" s="245"/>
      <c r="AA329" s="295"/>
      <c r="AB329" s="124"/>
      <c r="AC329" s="299"/>
      <c r="AD329" s="299"/>
      <c r="AE329" s="299"/>
      <c r="AF329" s="299"/>
      <c r="AG329" s="299"/>
      <c r="AH329" s="299"/>
      <c r="AI329" s="299"/>
      <c r="AJ329" s="299"/>
      <c r="AK329" s="299"/>
      <c r="AL329"/>
      <c r="AM329" s="124"/>
      <c r="AN329"/>
    </row>
    <row r="330" spans="1:40" s="39" customFormat="1" x14ac:dyDescent="0.25">
      <c r="A330" s="262"/>
      <c r="B330" s="244"/>
      <c r="C330" s="428"/>
      <c r="D330" s="428"/>
      <c r="E330" s="298"/>
      <c r="F330" s="831"/>
      <c r="G330"/>
      <c r="H330"/>
      <c r="I330" s="245"/>
      <c r="J330" s="295"/>
      <c r="K330" s="124"/>
      <c r="L330" s="299"/>
      <c r="M330" s="299"/>
      <c r="N330" s="299"/>
      <c r="O330" s="299"/>
      <c r="P330" s="299"/>
      <c r="Q330" s="299"/>
      <c r="R330" s="299"/>
      <c r="S330" s="299"/>
      <c r="T330" s="299"/>
      <c r="U330" s="124"/>
      <c r="V330" s="298"/>
      <c r="W330"/>
      <c r="X330"/>
      <c r="Y330"/>
      <c r="Z330" s="245"/>
      <c r="AA330" s="295"/>
      <c r="AB330" s="124"/>
      <c r="AC330" s="299"/>
      <c r="AD330" s="299"/>
      <c r="AE330" s="299"/>
      <c r="AF330" s="299"/>
      <c r="AG330" s="299"/>
      <c r="AH330" s="299"/>
      <c r="AI330" s="299"/>
      <c r="AJ330" s="299"/>
      <c r="AK330" s="299"/>
      <c r="AL330"/>
      <c r="AM330" s="124"/>
      <c r="AN330"/>
    </row>
    <row r="331" spans="1:40" s="39" customFormat="1" x14ac:dyDescent="0.25">
      <c r="A331" s="262"/>
      <c r="B331" s="244"/>
      <c r="C331" s="428"/>
      <c r="D331" s="428"/>
      <c r="E331" s="298"/>
      <c r="F331" s="831"/>
      <c r="G331"/>
      <c r="H331"/>
      <c r="I331" s="245"/>
      <c r="J331" s="295"/>
      <c r="K331" s="124"/>
      <c r="L331" s="299"/>
      <c r="M331" s="299"/>
      <c r="N331" s="299"/>
      <c r="O331" s="299"/>
      <c r="P331" s="299"/>
      <c r="Q331" s="299"/>
      <c r="R331" s="299"/>
      <c r="S331" s="299"/>
      <c r="T331" s="299"/>
      <c r="U331" s="124"/>
      <c r="V331" s="298"/>
      <c r="W331"/>
      <c r="X331"/>
      <c r="Y331"/>
      <c r="Z331" s="245"/>
      <c r="AA331" s="295"/>
      <c r="AB331" s="124"/>
      <c r="AC331" s="299"/>
      <c r="AD331" s="299"/>
      <c r="AE331" s="299"/>
      <c r="AF331" s="299"/>
      <c r="AG331" s="299"/>
      <c r="AH331" s="299"/>
      <c r="AI331" s="299"/>
      <c r="AJ331" s="299"/>
      <c r="AK331" s="299"/>
      <c r="AL331"/>
      <c r="AM331" s="124"/>
      <c r="AN331"/>
    </row>
    <row r="332" spans="1:40" s="39" customFormat="1" x14ac:dyDescent="0.25">
      <c r="A332" s="262"/>
      <c r="B332" s="244"/>
      <c r="C332" s="428"/>
      <c r="D332" s="428"/>
      <c r="E332" s="298"/>
      <c r="F332" s="831"/>
      <c r="G332"/>
      <c r="H332"/>
      <c r="I332" s="245"/>
      <c r="J332" s="295"/>
      <c r="K332" s="124"/>
      <c r="L332" s="299"/>
      <c r="M332" s="299"/>
      <c r="N332" s="299"/>
      <c r="O332" s="299"/>
      <c r="P332" s="299"/>
      <c r="Q332" s="299"/>
      <c r="R332" s="299"/>
      <c r="S332" s="299"/>
      <c r="T332" s="299"/>
      <c r="U332" s="124"/>
      <c r="V332" s="298"/>
      <c r="W332"/>
      <c r="X332"/>
      <c r="Y332"/>
      <c r="Z332" s="245"/>
      <c r="AA332" s="295"/>
      <c r="AB332" s="124"/>
      <c r="AC332" s="299"/>
      <c r="AD332" s="299"/>
      <c r="AE332" s="299"/>
      <c r="AF332" s="299"/>
      <c r="AG332" s="299"/>
      <c r="AH332" s="299"/>
      <c r="AI332" s="299"/>
      <c r="AJ332" s="299"/>
      <c r="AK332" s="299"/>
      <c r="AL332"/>
      <c r="AM332" s="124"/>
      <c r="AN332"/>
    </row>
    <row r="333" spans="1:40" s="39" customFormat="1" x14ac:dyDescent="0.25">
      <c r="A333" s="262"/>
      <c r="B333" s="244"/>
      <c r="C333" s="428"/>
      <c r="D333" s="428"/>
      <c r="E333" s="298"/>
      <c r="F333" s="831"/>
      <c r="G333"/>
      <c r="H333"/>
      <c r="I333" s="245"/>
      <c r="J333" s="295"/>
      <c r="K333" s="124"/>
      <c r="L333" s="299"/>
      <c r="M333" s="299"/>
      <c r="N333" s="299"/>
      <c r="O333" s="299"/>
      <c r="P333" s="299"/>
      <c r="Q333" s="299"/>
      <c r="R333" s="299"/>
      <c r="S333" s="299"/>
      <c r="T333" s="299"/>
      <c r="U333" s="124"/>
      <c r="V333" s="298"/>
      <c r="W333"/>
      <c r="X333"/>
      <c r="Y333"/>
      <c r="Z333" s="245"/>
      <c r="AA333" s="295"/>
      <c r="AB333" s="124"/>
      <c r="AC333" s="299"/>
      <c r="AD333" s="299"/>
      <c r="AE333" s="299"/>
      <c r="AF333" s="299"/>
      <c r="AG333" s="299"/>
      <c r="AH333" s="299"/>
      <c r="AI333" s="299"/>
      <c r="AJ333" s="299"/>
      <c r="AK333" s="299"/>
      <c r="AL333"/>
      <c r="AM333" s="124"/>
      <c r="AN333"/>
    </row>
    <row r="334" spans="1:40" s="39" customFormat="1" x14ac:dyDescent="0.25">
      <c r="A334" s="262"/>
      <c r="B334" s="244"/>
      <c r="C334" s="428"/>
      <c r="D334" s="428"/>
      <c r="E334" s="298"/>
      <c r="F334" s="831"/>
      <c r="G334"/>
      <c r="H334"/>
      <c r="I334" s="245"/>
      <c r="J334" s="295"/>
      <c r="K334" s="124"/>
      <c r="L334" s="299"/>
      <c r="M334" s="299"/>
      <c r="N334" s="299"/>
      <c r="O334" s="299"/>
      <c r="P334" s="299"/>
      <c r="Q334" s="299"/>
      <c r="R334" s="299"/>
      <c r="S334" s="299"/>
      <c r="T334" s="299"/>
      <c r="U334" s="124"/>
      <c r="V334" s="298"/>
      <c r="W334"/>
      <c r="X334"/>
      <c r="Y334"/>
      <c r="Z334" s="245"/>
      <c r="AA334" s="295"/>
      <c r="AB334" s="124"/>
      <c r="AC334" s="299"/>
      <c r="AD334" s="299"/>
      <c r="AE334" s="299"/>
      <c r="AF334" s="299"/>
      <c r="AG334" s="299"/>
      <c r="AH334" s="299"/>
      <c r="AI334" s="299"/>
      <c r="AJ334" s="299"/>
      <c r="AK334" s="299"/>
      <c r="AL334"/>
      <c r="AM334" s="124"/>
      <c r="AN334"/>
    </row>
    <row r="335" spans="1:40" s="39" customFormat="1" x14ac:dyDescent="0.25">
      <c r="A335" s="262"/>
      <c r="B335" s="244"/>
      <c r="C335" s="428"/>
      <c r="D335" s="428"/>
      <c r="E335" s="298"/>
      <c r="F335" s="831"/>
      <c r="G335"/>
      <c r="H335"/>
      <c r="I335" s="245"/>
      <c r="J335" s="295"/>
      <c r="K335" s="124"/>
      <c r="L335" s="299"/>
      <c r="M335" s="299"/>
      <c r="N335" s="299"/>
      <c r="O335" s="299"/>
      <c r="P335" s="299"/>
      <c r="Q335" s="299"/>
      <c r="R335" s="299"/>
      <c r="S335" s="299"/>
      <c r="T335" s="299"/>
      <c r="U335" s="124"/>
      <c r="V335" s="298"/>
      <c r="W335"/>
      <c r="X335"/>
      <c r="Y335"/>
      <c r="Z335" s="245"/>
      <c r="AA335" s="295"/>
      <c r="AB335" s="124"/>
      <c r="AC335" s="299"/>
      <c r="AD335" s="299"/>
      <c r="AE335" s="299"/>
      <c r="AF335" s="299"/>
      <c r="AG335" s="299"/>
      <c r="AH335" s="299"/>
      <c r="AI335" s="299"/>
      <c r="AJ335" s="299"/>
      <c r="AK335" s="299"/>
      <c r="AL335"/>
      <c r="AM335" s="124"/>
      <c r="AN335"/>
    </row>
    <row r="336" spans="1:40" s="39" customFormat="1" x14ac:dyDescent="0.25">
      <c r="A336" s="262"/>
      <c r="B336" s="244"/>
      <c r="C336" s="428"/>
      <c r="D336" s="428"/>
      <c r="E336" s="298"/>
      <c r="F336" s="831"/>
      <c r="G336"/>
      <c r="H336"/>
      <c r="I336" s="245"/>
      <c r="J336" s="295"/>
      <c r="K336" s="124"/>
      <c r="L336" s="299"/>
      <c r="M336" s="299"/>
      <c r="N336" s="299"/>
      <c r="O336" s="299"/>
      <c r="P336" s="299"/>
      <c r="Q336" s="299"/>
      <c r="R336" s="299"/>
      <c r="S336" s="299"/>
      <c r="T336" s="299"/>
      <c r="U336" s="124"/>
      <c r="V336" s="298"/>
      <c r="W336"/>
      <c r="X336"/>
      <c r="Y336"/>
      <c r="Z336" s="245"/>
      <c r="AA336" s="295"/>
      <c r="AB336" s="124"/>
      <c r="AC336" s="299"/>
      <c r="AD336" s="299"/>
      <c r="AE336" s="299"/>
      <c r="AF336" s="299"/>
      <c r="AG336" s="299"/>
      <c r="AH336" s="299"/>
      <c r="AI336" s="299"/>
      <c r="AJ336" s="299"/>
      <c r="AK336" s="299"/>
      <c r="AL336"/>
      <c r="AM336" s="124"/>
      <c r="AN336"/>
    </row>
    <row r="337" spans="1:40" s="39" customFormat="1" x14ac:dyDescent="0.25">
      <c r="A337" s="262"/>
      <c r="B337" s="244"/>
      <c r="C337" s="428"/>
      <c r="D337" s="428"/>
      <c r="E337" s="298"/>
      <c r="F337" s="831"/>
      <c r="G337"/>
      <c r="H337"/>
      <c r="I337" s="245"/>
      <c r="J337" s="295"/>
      <c r="K337" s="124"/>
      <c r="L337" s="299"/>
      <c r="M337" s="299"/>
      <c r="N337" s="299"/>
      <c r="O337" s="299"/>
      <c r="P337" s="299"/>
      <c r="Q337" s="299"/>
      <c r="R337" s="299"/>
      <c r="S337" s="299"/>
      <c r="T337" s="299"/>
      <c r="U337" s="124"/>
      <c r="V337" s="298"/>
      <c r="W337"/>
      <c r="X337"/>
      <c r="Y337"/>
      <c r="Z337" s="245"/>
      <c r="AA337" s="295"/>
      <c r="AB337" s="124"/>
      <c r="AC337" s="299"/>
      <c r="AD337" s="299"/>
      <c r="AE337" s="299"/>
      <c r="AF337" s="299"/>
      <c r="AG337" s="299"/>
      <c r="AH337" s="299"/>
      <c r="AI337" s="299"/>
      <c r="AJ337" s="299"/>
      <c r="AK337" s="299"/>
      <c r="AL337"/>
      <c r="AM337" s="124"/>
      <c r="AN337"/>
    </row>
    <row r="338" spans="1:40" s="39" customFormat="1" x14ac:dyDescent="0.25">
      <c r="A338" s="262"/>
      <c r="B338" s="244"/>
      <c r="C338" s="428"/>
      <c r="D338" s="428"/>
      <c r="E338" s="298"/>
      <c r="F338" s="831"/>
      <c r="G338"/>
      <c r="H338"/>
      <c r="I338" s="245"/>
      <c r="J338" s="295"/>
      <c r="K338" s="124"/>
      <c r="L338" s="299"/>
      <c r="M338" s="299"/>
      <c r="N338" s="299"/>
      <c r="O338" s="299"/>
      <c r="P338" s="299"/>
      <c r="Q338" s="299"/>
      <c r="R338" s="299"/>
      <c r="S338" s="299"/>
      <c r="T338" s="299"/>
      <c r="U338" s="124"/>
      <c r="V338" s="298"/>
      <c r="W338"/>
      <c r="X338"/>
      <c r="Y338"/>
      <c r="Z338" s="245"/>
      <c r="AA338" s="295"/>
      <c r="AB338" s="124"/>
      <c r="AC338" s="299"/>
      <c r="AD338" s="299"/>
      <c r="AE338" s="299"/>
      <c r="AF338" s="299"/>
      <c r="AG338" s="299"/>
      <c r="AH338" s="299"/>
      <c r="AI338" s="299"/>
      <c r="AJ338" s="299"/>
      <c r="AK338" s="299"/>
      <c r="AL338"/>
      <c r="AM338" s="124"/>
      <c r="AN338"/>
    </row>
    <row r="339" spans="1:40" s="39" customFormat="1" x14ac:dyDescent="0.25">
      <c r="A339" s="262"/>
      <c r="B339" s="244"/>
      <c r="C339" s="428"/>
      <c r="D339" s="428"/>
      <c r="E339" s="298"/>
      <c r="F339" s="831"/>
      <c r="G339"/>
      <c r="H339"/>
      <c r="I339" s="245"/>
      <c r="J339" s="295"/>
      <c r="K339" s="124"/>
      <c r="L339" s="299"/>
      <c r="M339" s="299"/>
      <c r="N339" s="299"/>
      <c r="O339" s="299"/>
      <c r="P339" s="299"/>
      <c r="Q339" s="299"/>
      <c r="R339" s="299"/>
      <c r="S339" s="299"/>
      <c r="T339" s="299"/>
      <c r="U339" s="124"/>
      <c r="V339" s="298"/>
      <c r="W339"/>
      <c r="X339"/>
      <c r="Y339"/>
      <c r="Z339" s="245"/>
      <c r="AA339" s="295"/>
      <c r="AB339" s="124"/>
      <c r="AC339" s="299"/>
      <c r="AD339" s="299"/>
      <c r="AE339" s="299"/>
      <c r="AF339" s="299"/>
      <c r="AG339" s="299"/>
      <c r="AH339" s="299"/>
      <c r="AI339" s="299"/>
      <c r="AJ339" s="299"/>
      <c r="AK339" s="299"/>
      <c r="AL339"/>
      <c r="AM339" s="124"/>
      <c r="AN339"/>
    </row>
    <row r="340" spans="1:40" s="39" customFormat="1" x14ac:dyDescent="0.25">
      <c r="A340" s="262"/>
      <c r="B340" s="244"/>
      <c r="C340" s="428"/>
      <c r="D340" s="428"/>
      <c r="E340" s="298"/>
      <c r="F340" s="831"/>
      <c r="G340"/>
      <c r="H340"/>
      <c r="I340" s="245"/>
      <c r="J340" s="295"/>
      <c r="K340" s="124"/>
      <c r="L340" s="299"/>
      <c r="M340" s="299"/>
      <c r="N340" s="299"/>
      <c r="O340" s="299"/>
      <c r="P340" s="299"/>
      <c r="Q340" s="299"/>
      <c r="R340" s="299"/>
      <c r="S340" s="299"/>
      <c r="T340" s="299"/>
      <c r="U340" s="124"/>
      <c r="V340" s="298"/>
      <c r="W340"/>
      <c r="X340"/>
      <c r="Y340"/>
      <c r="Z340" s="245"/>
      <c r="AA340" s="295"/>
      <c r="AB340" s="124"/>
      <c r="AC340" s="299"/>
      <c r="AD340" s="299"/>
      <c r="AE340" s="299"/>
      <c r="AF340" s="299"/>
      <c r="AG340" s="299"/>
      <c r="AH340" s="299"/>
      <c r="AI340" s="299"/>
      <c r="AJ340" s="299"/>
      <c r="AK340" s="299"/>
      <c r="AL340"/>
      <c r="AM340" s="124"/>
      <c r="AN340"/>
    </row>
    <row r="341" spans="1:40" s="39" customFormat="1" x14ac:dyDescent="0.25">
      <c r="A341" s="262"/>
      <c r="B341" s="244"/>
      <c r="C341" s="428"/>
      <c r="D341" s="428"/>
      <c r="E341" s="298"/>
      <c r="F341" s="831"/>
      <c r="G341"/>
      <c r="H341"/>
      <c r="I341" s="245"/>
      <c r="J341" s="295"/>
      <c r="K341" s="124"/>
      <c r="L341" s="299"/>
      <c r="M341" s="299"/>
      <c r="N341" s="299"/>
      <c r="O341" s="299"/>
      <c r="P341" s="299"/>
      <c r="Q341" s="299"/>
      <c r="R341" s="299"/>
      <c r="S341" s="299"/>
      <c r="T341" s="299"/>
      <c r="U341" s="124"/>
      <c r="V341" s="298"/>
      <c r="W341"/>
      <c r="X341"/>
      <c r="Y341"/>
      <c r="Z341" s="245"/>
      <c r="AA341" s="295"/>
      <c r="AB341" s="124"/>
      <c r="AC341" s="299"/>
      <c r="AD341" s="299"/>
      <c r="AE341" s="299"/>
      <c r="AF341" s="299"/>
      <c r="AG341" s="299"/>
      <c r="AH341" s="299"/>
      <c r="AI341" s="299"/>
      <c r="AJ341" s="299"/>
      <c r="AK341" s="299"/>
      <c r="AL341"/>
      <c r="AM341" s="124"/>
      <c r="AN341"/>
    </row>
    <row r="342" spans="1:40" s="39" customFormat="1" x14ac:dyDescent="0.25">
      <c r="A342" s="262"/>
      <c r="B342" s="244"/>
      <c r="C342" s="428"/>
      <c r="D342" s="428"/>
      <c r="E342" s="298"/>
      <c r="F342" s="831"/>
      <c r="G342"/>
      <c r="H342"/>
      <c r="I342" s="245"/>
      <c r="J342" s="295"/>
      <c r="K342" s="124"/>
      <c r="L342" s="299"/>
      <c r="M342" s="299"/>
      <c r="N342" s="299"/>
      <c r="O342" s="299"/>
      <c r="P342" s="299"/>
      <c r="Q342" s="299"/>
      <c r="R342" s="299"/>
      <c r="S342" s="299"/>
      <c r="T342" s="299"/>
      <c r="U342" s="124"/>
      <c r="V342" s="298"/>
      <c r="W342"/>
      <c r="X342"/>
      <c r="Y342"/>
      <c r="Z342" s="245"/>
      <c r="AA342" s="295"/>
      <c r="AB342" s="124"/>
      <c r="AC342" s="299"/>
      <c r="AD342" s="299"/>
      <c r="AE342" s="299"/>
      <c r="AF342" s="299"/>
      <c r="AG342" s="299"/>
      <c r="AH342" s="299"/>
      <c r="AI342" s="299"/>
      <c r="AJ342" s="299"/>
      <c r="AK342" s="299"/>
      <c r="AL342"/>
      <c r="AM342" s="124"/>
      <c r="AN342"/>
    </row>
    <row r="343" spans="1:40" s="39" customFormat="1" x14ac:dyDescent="0.25">
      <c r="A343" s="262"/>
      <c r="B343" s="244"/>
      <c r="C343" s="428"/>
      <c r="D343" s="428"/>
      <c r="E343" s="298"/>
      <c r="F343" s="831"/>
      <c r="G343"/>
      <c r="H343"/>
      <c r="I343" s="245"/>
      <c r="J343" s="295"/>
      <c r="K343" s="124"/>
      <c r="L343" s="299"/>
      <c r="M343" s="299"/>
      <c r="N343" s="299"/>
      <c r="O343" s="299"/>
      <c r="P343" s="299"/>
      <c r="Q343" s="299"/>
      <c r="R343" s="299"/>
      <c r="S343" s="299"/>
      <c r="T343" s="299"/>
      <c r="U343" s="124"/>
      <c r="V343" s="298"/>
      <c r="W343"/>
      <c r="X343"/>
      <c r="Y343"/>
      <c r="Z343" s="245"/>
      <c r="AA343" s="295"/>
      <c r="AB343" s="124"/>
      <c r="AC343" s="299"/>
      <c r="AD343" s="299"/>
      <c r="AE343" s="299"/>
      <c r="AF343" s="299"/>
      <c r="AG343" s="299"/>
      <c r="AH343" s="299"/>
      <c r="AI343" s="299"/>
      <c r="AJ343" s="299"/>
      <c r="AK343" s="299"/>
      <c r="AL343"/>
      <c r="AM343" s="124"/>
      <c r="AN343"/>
    </row>
    <row r="344" spans="1:40" s="39" customFormat="1" x14ac:dyDescent="0.25">
      <c r="A344" s="262"/>
      <c r="B344" s="244"/>
      <c r="C344" s="428"/>
      <c r="D344" s="428"/>
      <c r="E344" s="298"/>
      <c r="F344" s="831"/>
      <c r="G344"/>
      <c r="H344"/>
      <c r="I344" s="245"/>
      <c r="J344" s="295"/>
      <c r="K344" s="124"/>
      <c r="L344" s="299"/>
      <c r="M344" s="299"/>
      <c r="N344" s="299"/>
      <c r="O344" s="299"/>
      <c r="P344" s="299"/>
      <c r="Q344" s="299"/>
      <c r="R344" s="299"/>
      <c r="S344" s="299"/>
      <c r="T344" s="299"/>
      <c r="U344" s="124"/>
      <c r="V344" s="298"/>
      <c r="W344"/>
      <c r="X344"/>
      <c r="Y344"/>
      <c r="Z344" s="245"/>
      <c r="AA344" s="295"/>
      <c r="AB344" s="124"/>
      <c r="AC344" s="299"/>
      <c r="AD344" s="299"/>
      <c r="AE344" s="299"/>
      <c r="AF344" s="299"/>
      <c r="AG344" s="299"/>
      <c r="AH344" s="299"/>
      <c r="AI344" s="299"/>
      <c r="AJ344" s="299"/>
      <c r="AK344" s="299"/>
      <c r="AL344"/>
      <c r="AM344" s="124"/>
      <c r="AN344"/>
    </row>
    <row r="345" spans="1:40" s="39" customFormat="1" x14ac:dyDescent="0.25">
      <c r="A345" s="262"/>
      <c r="B345" s="244"/>
      <c r="C345" s="428"/>
      <c r="D345" s="428"/>
      <c r="E345" s="298"/>
      <c r="F345" s="831"/>
      <c r="G345"/>
      <c r="H345"/>
      <c r="I345" s="245"/>
      <c r="J345" s="295"/>
      <c r="K345" s="124"/>
      <c r="L345" s="299"/>
      <c r="M345" s="299"/>
      <c r="N345" s="299"/>
      <c r="O345" s="299"/>
      <c r="P345" s="299"/>
      <c r="Q345" s="299"/>
      <c r="R345" s="299"/>
      <c r="S345" s="299"/>
      <c r="T345" s="299"/>
      <c r="U345" s="124"/>
      <c r="V345" s="298"/>
      <c r="W345"/>
      <c r="X345"/>
      <c r="Y345"/>
      <c r="Z345" s="245"/>
      <c r="AA345" s="295"/>
      <c r="AB345" s="124"/>
      <c r="AC345" s="299"/>
      <c r="AD345" s="299"/>
      <c r="AE345" s="299"/>
      <c r="AF345" s="299"/>
      <c r="AG345" s="299"/>
      <c r="AH345" s="299"/>
      <c r="AI345" s="299"/>
      <c r="AJ345" s="299"/>
      <c r="AK345" s="299"/>
      <c r="AL345"/>
      <c r="AM345" s="124"/>
      <c r="AN345"/>
    </row>
    <row r="346" spans="1:40" s="39" customFormat="1" x14ac:dyDescent="0.25">
      <c r="A346" s="262"/>
      <c r="B346" s="244"/>
      <c r="C346" s="428"/>
      <c r="D346" s="428"/>
      <c r="E346" s="298"/>
      <c r="F346" s="831"/>
      <c r="G346"/>
      <c r="H346"/>
      <c r="I346" s="245"/>
      <c r="J346" s="295"/>
      <c r="K346" s="124"/>
      <c r="L346" s="299"/>
      <c r="M346" s="299"/>
      <c r="N346" s="299"/>
      <c r="O346" s="299"/>
      <c r="P346" s="299"/>
      <c r="Q346" s="299"/>
      <c r="R346" s="299"/>
      <c r="S346" s="299"/>
      <c r="T346" s="299"/>
      <c r="U346" s="124"/>
      <c r="V346" s="298"/>
      <c r="W346"/>
      <c r="X346"/>
      <c r="Y346"/>
      <c r="Z346" s="245"/>
      <c r="AA346" s="295"/>
      <c r="AB346" s="124"/>
      <c r="AC346" s="299"/>
      <c r="AD346" s="299"/>
      <c r="AE346" s="299"/>
      <c r="AF346" s="299"/>
      <c r="AG346" s="299"/>
      <c r="AH346" s="299"/>
      <c r="AI346" s="299"/>
      <c r="AJ346" s="299"/>
      <c r="AK346" s="299"/>
      <c r="AL346"/>
      <c r="AM346" s="124"/>
      <c r="AN346"/>
    </row>
    <row r="347" spans="1:40" s="39" customFormat="1" x14ac:dyDescent="0.25">
      <c r="A347" s="262"/>
      <c r="B347" s="244"/>
      <c r="C347" s="428"/>
      <c r="D347" s="428"/>
      <c r="E347" s="298"/>
      <c r="F347" s="831"/>
      <c r="G347"/>
      <c r="H347"/>
      <c r="I347" s="245"/>
      <c r="J347" s="295"/>
      <c r="K347" s="124"/>
      <c r="L347" s="299"/>
      <c r="M347" s="299"/>
      <c r="N347" s="299"/>
      <c r="O347" s="299"/>
      <c r="P347" s="299"/>
      <c r="Q347" s="299"/>
      <c r="R347" s="299"/>
      <c r="S347" s="299"/>
      <c r="T347" s="299"/>
      <c r="U347" s="124"/>
      <c r="V347" s="298"/>
      <c r="W347"/>
      <c r="X347"/>
      <c r="Y347"/>
      <c r="Z347" s="245"/>
      <c r="AA347" s="295"/>
      <c r="AB347" s="124"/>
      <c r="AC347" s="299"/>
      <c r="AD347" s="299"/>
      <c r="AE347" s="299"/>
      <c r="AF347" s="299"/>
      <c r="AG347" s="299"/>
      <c r="AH347" s="299"/>
      <c r="AI347" s="299"/>
      <c r="AJ347" s="299"/>
      <c r="AK347" s="299"/>
      <c r="AL347"/>
      <c r="AM347" s="124"/>
      <c r="AN347"/>
    </row>
    <row r="348" spans="1:40" s="39" customFormat="1" x14ac:dyDescent="0.25">
      <c r="A348" s="262"/>
      <c r="B348" s="244"/>
      <c r="C348" s="428"/>
      <c r="D348" s="428"/>
      <c r="E348" s="298"/>
      <c r="F348" s="831"/>
      <c r="G348"/>
      <c r="H348"/>
      <c r="I348" s="245"/>
      <c r="J348" s="295"/>
      <c r="K348" s="124"/>
      <c r="L348" s="299"/>
      <c r="M348" s="299"/>
      <c r="N348" s="299"/>
      <c r="O348" s="299"/>
      <c r="P348" s="299"/>
      <c r="Q348" s="299"/>
      <c r="R348" s="299"/>
      <c r="S348" s="299"/>
      <c r="T348" s="299"/>
      <c r="U348" s="124"/>
      <c r="V348" s="298"/>
      <c r="W348"/>
      <c r="X348"/>
      <c r="Y348"/>
      <c r="Z348" s="245"/>
      <c r="AA348" s="295"/>
      <c r="AB348" s="124"/>
      <c r="AC348" s="299"/>
      <c r="AD348" s="299"/>
      <c r="AE348" s="299"/>
      <c r="AF348" s="299"/>
      <c r="AG348" s="299"/>
      <c r="AH348" s="299"/>
      <c r="AI348" s="299"/>
      <c r="AJ348" s="299"/>
      <c r="AK348" s="299"/>
      <c r="AL348"/>
      <c r="AM348" s="124"/>
      <c r="AN348"/>
    </row>
    <row r="349" spans="1:40" s="39" customFormat="1" x14ac:dyDescent="0.25">
      <c r="A349" s="262"/>
      <c r="B349" s="244"/>
      <c r="C349" s="428"/>
      <c r="D349" s="428"/>
      <c r="E349" s="298"/>
      <c r="F349" s="831"/>
      <c r="G349"/>
      <c r="H349"/>
      <c r="I349" s="245"/>
      <c r="J349" s="295"/>
      <c r="K349" s="124"/>
      <c r="L349" s="299"/>
      <c r="M349" s="299"/>
      <c r="N349" s="299"/>
      <c r="O349" s="299"/>
      <c r="P349" s="299"/>
      <c r="Q349" s="299"/>
      <c r="R349" s="299"/>
      <c r="S349" s="299"/>
      <c r="T349" s="299"/>
      <c r="U349" s="124"/>
      <c r="V349" s="298"/>
      <c r="W349"/>
      <c r="X349"/>
      <c r="Y349"/>
      <c r="Z349" s="245"/>
      <c r="AA349" s="295"/>
      <c r="AB349" s="124"/>
      <c r="AC349" s="299"/>
      <c r="AD349" s="299"/>
      <c r="AE349" s="299"/>
      <c r="AF349" s="299"/>
      <c r="AG349" s="299"/>
      <c r="AH349" s="299"/>
      <c r="AI349" s="299"/>
      <c r="AJ349" s="299"/>
      <c r="AK349" s="299"/>
      <c r="AL349"/>
      <c r="AM349" s="124"/>
      <c r="AN349"/>
    </row>
    <row r="350" spans="1:40" s="350" customFormat="1" x14ac:dyDescent="0.25">
      <c r="A350" s="262"/>
      <c r="B350" s="244"/>
      <c r="C350" s="428"/>
      <c r="D350" s="428"/>
      <c r="E350" s="298"/>
      <c r="F350" s="831"/>
      <c r="G350"/>
      <c r="H350"/>
      <c r="I350" s="245"/>
      <c r="J350" s="295"/>
      <c r="K350" s="124"/>
      <c r="L350" s="299"/>
      <c r="M350" s="299"/>
      <c r="N350" s="299"/>
      <c r="O350" s="299"/>
      <c r="P350" s="299"/>
      <c r="Q350" s="299"/>
      <c r="R350" s="299"/>
      <c r="S350" s="299"/>
      <c r="T350" s="299"/>
      <c r="U350" s="124"/>
      <c r="V350" s="298"/>
      <c r="W350"/>
      <c r="X350"/>
      <c r="Y350"/>
      <c r="Z350" s="245"/>
      <c r="AA350" s="295"/>
      <c r="AB350" s="124"/>
      <c r="AC350" s="299"/>
      <c r="AD350" s="299"/>
      <c r="AE350" s="299"/>
      <c r="AF350" s="299"/>
      <c r="AG350" s="299"/>
      <c r="AH350" s="299"/>
      <c r="AI350" s="299"/>
      <c r="AJ350" s="299"/>
      <c r="AK350" s="299"/>
      <c r="AL350"/>
      <c r="AM350" s="124"/>
      <c r="AN350"/>
    </row>
    <row r="351" spans="1:40" s="39" customFormat="1" x14ac:dyDescent="0.25">
      <c r="A351" s="262"/>
      <c r="B351" s="244"/>
      <c r="C351" s="428"/>
      <c r="D351" s="428"/>
      <c r="E351" s="298"/>
      <c r="F351" s="831"/>
      <c r="G351"/>
      <c r="H351"/>
      <c r="I351" s="245"/>
      <c r="J351" s="295"/>
      <c r="K351" s="124"/>
      <c r="L351" s="299"/>
      <c r="M351" s="299"/>
      <c r="N351" s="299"/>
      <c r="O351" s="299"/>
      <c r="P351" s="299"/>
      <c r="Q351" s="299"/>
      <c r="R351" s="299"/>
      <c r="S351" s="299"/>
      <c r="T351" s="299"/>
      <c r="U351" s="124"/>
      <c r="V351" s="298"/>
      <c r="W351"/>
      <c r="X351"/>
      <c r="Y351"/>
      <c r="Z351" s="245"/>
      <c r="AA351" s="295"/>
      <c r="AB351" s="124"/>
      <c r="AC351" s="299"/>
      <c r="AD351" s="299"/>
      <c r="AE351" s="299"/>
      <c r="AF351" s="299"/>
      <c r="AG351" s="299"/>
      <c r="AH351" s="299"/>
      <c r="AI351" s="299"/>
      <c r="AJ351" s="299"/>
      <c r="AK351" s="299"/>
      <c r="AL351"/>
      <c r="AM351" s="124"/>
      <c r="AN351"/>
    </row>
    <row r="352" spans="1:40" s="39" customFormat="1" x14ac:dyDescent="0.25">
      <c r="A352" s="262"/>
      <c r="B352" s="244"/>
      <c r="C352" s="428"/>
      <c r="D352" s="428"/>
      <c r="E352" s="298"/>
      <c r="F352" s="831"/>
      <c r="G352"/>
      <c r="H352"/>
      <c r="I352" s="245"/>
      <c r="J352" s="295"/>
      <c r="K352" s="124"/>
      <c r="L352" s="299"/>
      <c r="M352" s="299"/>
      <c r="N352" s="299"/>
      <c r="O352" s="299"/>
      <c r="P352" s="299"/>
      <c r="Q352" s="299"/>
      <c r="R352" s="299"/>
      <c r="S352" s="299"/>
      <c r="T352" s="299"/>
      <c r="U352" s="124"/>
      <c r="V352" s="298"/>
      <c r="W352"/>
      <c r="X352"/>
      <c r="Y352"/>
      <c r="Z352" s="245"/>
      <c r="AA352" s="295"/>
      <c r="AB352" s="124"/>
      <c r="AC352" s="299"/>
      <c r="AD352" s="299"/>
      <c r="AE352" s="299"/>
      <c r="AF352" s="299"/>
      <c r="AG352" s="299"/>
      <c r="AH352" s="299"/>
      <c r="AI352" s="299"/>
      <c r="AJ352" s="299"/>
      <c r="AK352" s="299"/>
      <c r="AL352"/>
      <c r="AM352" s="124"/>
      <c r="AN352"/>
    </row>
    <row r="353" spans="1:40" s="350" customFormat="1" x14ac:dyDescent="0.25">
      <c r="A353" s="262"/>
      <c r="B353" s="244"/>
      <c r="C353" s="428"/>
      <c r="D353" s="428"/>
      <c r="E353" s="298"/>
      <c r="F353" s="831"/>
      <c r="G353"/>
      <c r="H353"/>
      <c r="I353" s="245"/>
      <c r="J353" s="295"/>
      <c r="K353" s="124"/>
      <c r="L353" s="299"/>
      <c r="M353" s="299"/>
      <c r="N353" s="299"/>
      <c r="O353" s="299"/>
      <c r="P353" s="299"/>
      <c r="Q353" s="299"/>
      <c r="R353" s="299"/>
      <c r="S353" s="299"/>
      <c r="T353" s="299"/>
      <c r="U353" s="124"/>
      <c r="V353" s="298"/>
      <c r="W353"/>
      <c r="X353"/>
      <c r="Y353"/>
      <c r="Z353" s="245"/>
      <c r="AA353" s="295"/>
      <c r="AB353" s="124"/>
      <c r="AC353" s="299"/>
      <c r="AD353" s="299"/>
      <c r="AE353" s="299"/>
      <c r="AF353" s="299"/>
      <c r="AG353" s="299"/>
      <c r="AH353" s="299"/>
      <c r="AI353" s="299"/>
      <c r="AJ353" s="299"/>
      <c r="AK353" s="299"/>
      <c r="AL353"/>
      <c r="AM353" s="124"/>
      <c r="AN353"/>
    </row>
    <row r="354" spans="1:40" s="350" customFormat="1" x14ac:dyDescent="0.25">
      <c r="A354" s="262"/>
      <c r="B354" s="244"/>
      <c r="C354" s="428"/>
      <c r="D354" s="428"/>
      <c r="E354" s="298"/>
      <c r="F354" s="831"/>
      <c r="G354"/>
      <c r="H354"/>
      <c r="I354" s="245"/>
      <c r="J354" s="295"/>
      <c r="K354" s="124"/>
      <c r="L354" s="299"/>
      <c r="M354" s="299"/>
      <c r="N354" s="299"/>
      <c r="O354" s="299"/>
      <c r="P354" s="299"/>
      <c r="Q354" s="299"/>
      <c r="R354" s="299"/>
      <c r="S354" s="299"/>
      <c r="T354" s="299"/>
      <c r="U354" s="124"/>
      <c r="V354" s="298"/>
      <c r="W354"/>
      <c r="X354"/>
      <c r="Y354"/>
      <c r="Z354" s="245"/>
      <c r="AA354" s="295"/>
      <c r="AB354" s="124"/>
      <c r="AC354" s="299"/>
      <c r="AD354" s="299"/>
      <c r="AE354" s="299"/>
      <c r="AF354" s="299"/>
      <c r="AG354" s="299"/>
      <c r="AH354" s="299"/>
      <c r="AI354" s="299"/>
      <c r="AJ354" s="299"/>
      <c r="AK354" s="299"/>
      <c r="AL354"/>
      <c r="AM354" s="124"/>
      <c r="AN354"/>
    </row>
    <row r="355" spans="1:40" s="379" customFormat="1" x14ac:dyDescent="0.25">
      <c r="A355" s="262"/>
      <c r="B355" s="244"/>
      <c r="C355" s="428"/>
      <c r="D355" s="428"/>
      <c r="E355" s="298"/>
      <c r="F355" s="831"/>
      <c r="G355"/>
      <c r="H355"/>
      <c r="I355" s="245"/>
      <c r="J355" s="295"/>
      <c r="K355" s="124"/>
      <c r="L355" s="299"/>
      <c r="M355" s="299"/>
      <c r="N355" s="299"/>
      <c r="O355" s="299"/>
      <c r="P355" s="299"/>
      <c r="Q355" s="299"/>
      <c r="R355" s="299"/>
      <c r="S355" s="299"/>
      <c r="T355" s="299"/>
      <c r="U355" s="124"/>
      <c r="V355" s="298"/>
      <c r="W355"/>
      <c r="X355"/>
      <c r="Y355"/>
      <c r="Z355" s="245"/>
      <c r="AA355" s="295"/>
      <c r="AB355" s="124"/>
      <c r="AC355" s="299"/>
      <c r="AD355" s="299"/>
      <c r="AE355" s="299"/>
      <c r="AF355" s="299"/>
      <c r="AG355" s="299"/>
      <c r="AH355" s="299"/>
      <c r="AI355" s="299"/>
      <c r="AJ355" s="299"/>
      <c r="AK355" s="299"/>
      <c r="AL355"/>
      <c r="AM355" s="124"/>
      <c r="AN355"/>
    </row>
    <row r="356" spans="1:40" s="39" customFormat="1" x14ac:dyDescent="0.25">
      <c r="A356" s="262"/>
      <c r="B356" s="244"/>
      <c r="C356" s="428"/>
      <c r="D356" s="428"/>
      <c r="E356" s="298"/>
      <c r="F356" s="831"/>
      <c r="G356"/>
      <c r="H356"/>
      <c r="I356" s="245"/>
      <c r="J356" s="295"/>
      <c r="K356" s="124"/>
      <c r="L356" s="299"/>
      <c r="M356" s="299"/>
      <c r="N356" s="299"/>
      <c r="O356" s="299"/>
      <c r="P356" s="299"/>
      <c r="Q356" s="299"/>
      <c r="R356" s="299"/>
      <c r="S356" s="299"/>
      <c r="T356" s="299"/>
      <c r="U356" s="124"/>
      <c r="V356" s="298"/>
      <c r="W356"/>
      <c r="X356"/>
      <c r="Y356"/>
      <c r="Z356" s="245"/>
      <c r="AA356" s="295"/>
      <c r="AB356" s="124"/>
      <c r="AC356" s="299"/>
      <c r="AD356" s="299"/>
      <c r="AE356" s="299"/>
      <c r="AF356" s="299"/>
      <c r="AG356" s="299"/>
      <c r="AH356" s="299"/>
      <c r="AI356" s="299"/>
      <c r="AJ356" s="299"/>
      <c r="AK356" s="299"/>
      <c r="AL356"/>
      <c r="AM356" s="124"/>
      <c r="AN356"/>
    </row>
    <row r="357" spans="1:40" s="30" customFormat="1" x14ac:dyDescent="0.25">
      <c r="A357" s="262"/>
      <c r="B357" s="244"/>
      <c r="C357" s="428"/>
      <c r="D357" s="428"/>
      <c r="E357" s="298"/>
      <c r="F357" s="831"/>
      <c r="G357"/>
      <c r="H357"/>
      <c r="I357" s="245"/>
      <c r="J357" s="295"/>
      <c r="K357" s="124"/>
      <c r="L357" s="299"/>
      <c r="M357" s="299"/>
      <c r="N357" s="299"/>
      <c r="O357" s="299"/>
      <c r="P357" s="299"/>
      <c r="Q357" s="299"/>
      <c r="R357" s="299"/>
      <c r="S357" s="299"/>
      <c r="T357" s="299"/>
      <c r="U357" s="124"/>
      <c r="V357" s="298"/>
      <c r="W357"/>
      <c r="X357"/>
      <c r="Y357"/>
      <c r="Z357" s="245"/>
      <c r="AA357" s="295"/>
      <c r="AB357" s="124"/>
      <c r="AC357" s="299"/>
      <c r="AD357" s="299"/>
      <c r="AE357" s="299"/>
      <c r="AF357" s="299"/>
      <c r="AG357" s="299"/>
      <c r="AH357" s="299"/>
      <c r="AI357" s="299"/>
      <c r="AJ357" s="299"/>
      <c r="AK357" s="299"/>
      <c r="AL357"/>
      <c r="AM357" s="124"/>
      <c r="AN357"/>
    </row>
    <row r="358" spans="1:40" s="30" customFormat="1" x14ac:dyDescent="0.25">
      <c r="A358" s="262"/>
      <c r="B358" s="244"/>
      <c r="C358" s="428"/>
      <c r="D358" s="428"/>
      <c r="E358" s="298"/>
      <c r="F358" s="831"/>
      <c r="G358"/>
      <c r="H358"/>
      <c r="I358" s="245"/>
      <c r="J358" s="295"/>
      <c r="K358" s="124"/>
      <c r="L358" s="299"/>
      <c r="M358" s="299"/>
      <c r="N358" s="299"/>
      <c r="O358" s="299"/>
      <c r="P358" s="299"/>
      <c r="Q358" s="299"/>
      <c r="R358" s="299"/>
      <c r="S358" s="299"/>
      <c r="T358" s="299"/>
      <c r="U358" s="124"/>
      <c r="V358" s="298"/>
      <c r="W358"/>
      <c r="X358"/>
      <c r="Y358"/>
      <c r="Z358" s="245"/>
      <c r="AA358" s="295"/>
      <c r="AB358" s="124"/>
      <c r="AC358" s="299"/>
      <c r="AD358" s="299"/>
      <c r="AE358" s="299"/>
      <c r="AF358" s="299"/>
      <c r="AG358" s="299"/>
      <c r="AH358" s="299"/>
      <c r="AI358" s="299"/>
      <c r="AJ358" s="299"/>
      <c r="AK358" s="299"/>
      <c r="AL358"/>
      <c r="AM358" s="124"/>
      <c r="AN358"/>
    </row>
    <row r="359" spans="1:40" s="30" customFormat="1" x14ac:dyDescent="0.25">
      <c r="A359" s="262"/>
      <c r="B359" s="244"/>
      <c r="C359" s="428"/>
      <c r="D359" s="428"/>
      <c r="E359" s="298"/>
      <c r="F359" s="831"/>
      <c r="G359"/>
      <c r="H359"/>
      <c r="I359" s="245"/>
      <c r="J359" s="295"/>
      <c r="K359" s="124"/>
      <c r="L359" s="299"/>
      <c r="M359" s="299"/>
      <c r="N359" s="299"/>
      <c r="O359" s="299"/>
      <c r="P359" s="299"/>
      <c r="Q359" s="299"/>
      <c r="R359" s="299"/>
      <c r="S359" s="299"/>
      <c r="T359" s="299"/>
      <c r="U359" s="124"/>
      <c r="V359" s="298"/>
      <c r="W359"/>
      <c r="X359"/>
      <c r="Y359"/>
      <c r="Z359" s="245"/>
      <c r="AA359" s="295"/>
      <c r="AB359" s="124"/>
      <c r="AC359" s="299"/>
      <c r="AD359" s="299"/>
      <c r="AE359" s="299"/>
      <c r="AF359" s="299"/>
      <c r="AG359" s="299"/>
      <c r="AH359" s="299"/>
      <c r="AI359" s="299"/>
      <c r="AJ359" s="299"/>
      <c r="AK359" s="299"/>
      <c r="AL359"/>
      <c r="AM359" s="124"/>
      <c r="AN359"/>
    </row>
    <row r="360" spans="1:40" s="30" customFormat="1" x14ac:dyDescent="0.25">
      <c r="A360" s="262"/>
      <c r="B360" s="244"/>
      <c r="C360" s="428"/>
      <c r="D360" s="428"/>
      <c r="E360" s="298"/>
      <c r="F360" s="831"/>
      <c r="G360"/>
      <c r="H360"/>
      <c r="I360" s="245"/>
      <c r="J360" s="295"/>
      <c r="K360" s="124"/>
      <c r="L360" s="299"/>
      <c r="M360" s="299"/>
      <c r="N360" s="299"/>
      <c r="O360" s="299"/>
      <c r="P360" s="299"/>
      <c r="Q360" s="299"/>
      <c r="R360" s="299"/>
      <c r="S360" s="299"/>
      <c r="T360" s="299"/>
      <c r="U360" s="124"/>
      <c r="V360" s="298"/>
      <c r="W360"/>
      <c r="X360"/>
      <c r="Y360"/>
      <c r="Z360" s="245"/>
      <c r="AA360" s="295"/>
      <c r="AB360" s="124"/>
      <c r="AC360" s="299"/>
      <c r="AD360" s="299"/>
      <c r="AE360" s="299"/>
      <c r="AF360" s="299"/>
      <c r="AG360" s="299"/>
      <c r="AH360" s="299"/>
      <c r="AI360" s="299"/>
      <c r="AJ360" s="299"/>
      <c r="AK360" s="299"/>
      <c r="AL360"/>
      <c r="AM360" s="124"/>
      <c r="AN360"/>
    </row>
    <row r="361" spans="1:40" s="30" customFormat="1" x14ac:dyDescent="0.25">
      <c r="A361" s="262"/>
      <c r="B361" s="244"/>
      <c r="C361" s="428"/>
      <c r="D361" s="428"/>
      <c r="E361" s="298"/>
      <c r="F361" s="831"/>
      <c r="G361"/>
      <c r="H361"/>
      <c r="I361" s="245"/>
      <c r="J361" s="295"/>
      <c r="K361" s="124"/>
      <c r="L361" s="299"/>
      <c r="M361" s="299"/>
      <c r="N361" s="299"/>
      <c r="O361" s="299"/>
      <c r="P361" s="299"/>
      <c r="Q361" s="299"/>
      <c r="R361" s="299"/>
      <c r="S361" s="299"/>
      <c r="T361" s="299"/>
      <c r="U361" s="124"/>
      <c r="V361" s="298"/>
      <c r="W361"/>
      <c r="X361"/>
      <c r="Y361"/>
      <c r="Z361" s="245"/>
      <c r="AA361" s="295"/>
      <c r="AB361" s="124"/>
      <c r="AC361" s="299"/>
      <c r="AD361" s="299"/>
      <c r="AE361" s="299"/>
      <c r="AF361" s="299"/>
      <c r="AG361" s="299"/>
      <c r="AH361" s="299"/>
      <c r="AI361" s="299"/>
      <c r="AJ361" s="299"/>
      <c r="AK361" s="299"/>
      <c r="AL361"/>
      <c r="AM361" s="124"/>
      <c r="AN361"/>
    </row>
    <row r="362" spans="1:40" s="39" customFormat="1" x14ac:dyDescent="0.25">
      <c r="A362" s="262"/>
      <c r="B362" s="244"/>
      <c r="C362" s="428"/>
      <c r="D362" s="428"/>
      <c r="E362" s="298"/>
      <c r="F362" s="831"/>
      <c r="G362"/>
      <c r="H362"/>
      <c r="I362" s="245"/>
      <c r="J362" s="295"/>
      <c r="K362" s="124"/>
      <c r="L362" s="299"/>
      <c r="M362" s="299"/>
      <c r="N362" s="299"/>
      <c r="O362" s="299"/>
      <c r="P362" s="299"/>
      <c r="Q362" s="299"/>
      <c r="R362" s="299"/>
      <c r="S362" s="299"/>
      <c r="T362" s="299"/>
      <c r="U362" s="124"/>
      <c r="V362" s="298"/>
      <c r="W362"/>
      <c r="X362"/>
      <c r="Y362"/>
      <c r="Z362" s="245"/>
      <c r="AA362" s="295"/>
      <c r="AB362" s="124"/>
      <c r="AC362" s="299"/>
      <c r="AD362" s="299"/>
      <c r="AE362" s="299"/>
      <c r="AF362" s="299"/>
      <c r="AG362" s="299"/>
      <c r="AH362" s="299"/>
      <c r="AI362" s="299"/>
      <c r="AJ362" s="299"/>
      <c r="AK362" s="299"/>
      <c r="AL362"/>
      <c r="AM362" s="124"/>
      <c r="AN362"/>
    </row>
    <row r="363" spans="1:40" s="30" customFormat="1" x14ac:dyDescent="0.25">
      <c r="A363" s="262"/>
      <c r="B363" s="244"/>
      <c r="C363" s="428"/>
      <c r="D363" s="428"/>
      <c r="E363" s="298"/>
      <c r="F363" s="831"/>
      <c r="G363"/>
      <c r="H363"/>
      <c r="I363" s="245"/>
      <c r="J363" s="295"/>
      <c r="K363" s="124"/>
      <c r="L363" s="299"/>
      <c r="M363" s="299"/>
      <c r="N363" s="299"/>
      <c r="O363" s="299"/>
      <c r="P363" s="299"/>
      <c r="Q363" s="299"/>
      <c r="R363" s="299"/>
      <c r="S363" s="299"/>
      <c r="T363" s="299"/>
      <c r="U363" s="124"/>
      <c r="V363" s="298"/>
      <c r="W363"/>
      <c r="X363"/>
      <c r="Y363"/>
      <c r="Z363" s="245"/>
      <c r="AA363" s="295"/>
      <c r="AB363" s="124"/>
      <c r="AC363" s="299"/>
      <c r="AD363" s="299"/>
      <c r="AE363" s="299"/>
      <c r="AF363" s="299"/>
      <c r="AG363" s="299"/>
      <c r="AH363" s="299"/>
      <c r="AI363" s="299"/>
      <c r="AJ363" s="299"/>
      <c r="AK363" s="299"/>
      <c r="AL363"/>
      <c r="AM363" s="124"/>
      <c r="AN363"/>
    </row>
    <row r="364" spans="1:40" s="30" customFormat="1" x14ac:dyDescent="0.25">
      <c r="A364" s="262"/>
      <c r="B364" s="244"/>
      <c r="C364" s="428"/>
      <c r="D364" s="428"/>
      <c r="E364" s="298"/>
      <c r="F364" s="831"/>
      <c r="G364"/>
      <c r="H364"/>
      <c r="I364" s="245"/>
      <c r="J364" s="295"/>
      <c r="K364" s="124"/>
      <c r="L364" s="299"/>
      <c r="M364" s="299"/>
      <c r="N364" s="299"/>
      <c r="O364" s="299"/>
      <c r="P364" s="299"/>
      <c r="Q364" s="299"/>
      <c r="R364" s="299"/>
      <c r="S364" s="299"/>
      <c r="T364" s="299"/>
      <c r="U364" s="124"/>
      <c r="V364" s="298"/>
      <c r="W364"/>
      <c r="X364"/>
      <c r="Y364"/>
      <c r="Z364" s="245"/>
      <c r="AA364" s="295"/>
      <c r="AB364" s="124"/>
      <c r="AC364" s="299"/>
      <c r="AD364" s="299"/>
      <c r="AE364" s="299"/>
      <c r="AF364" s="299"/>
      <c r="AG364" s="299"/>
      <c r="AH364" s="299"/>
      <c r="AI364" s="299"/>
      <c r="AJ364" s="299"/>
      <c r="AK364" s="299"/>
      <c r="AL364"/>
      <c r="AM364" s="124"/>
      <c r="AN364"/>
    </row>
    <row r="365" spans="1:40" s="30" customFormat="1" x14ac:dyDescent="0.25">
      <c r="A365" s="262"/>
      <c r="B365" s="244"/>
      <c r="C365" s="428"/>
      <c r="D365" s="428"/>
      <c r="E365" s="298"/>
      <c r="F365" s="831"/>
      <c r="G365"/>
      <c r="H365"/>
      <c r="I365" s="245"/>
      <c r="J365" s="295"/>
      <c r="K365" s="124"/>
      <c r="L365" s="299"/>
      <c r="M365" s="299"/>
      <c r="N365" s="299"/>
      <c r="O365" s="299"/>
      <c r="P365" s="299"/>
      <c r="Q365" s="299"/>
      <c r="R365" s="299"/>
      <c r="S365" s="299"/>
      <c r="T365" s="299"/>
      <c r="U365" s="124"/>
      <c r="V365" s="298"/>
      <c r="W365"/>
      <c r="X365"/>
      <c r="Y365"/>
      <c r="Z365" s="245"/>
      <c r="AA365" s="295"/>
      <c r="AB365" s="124"/>
      <c r="AC365" s="299"/>
      <c r="AD365" s="299"/>
      <c r="AE365" s="299"/>
      <c r="AF365" s="299"/>
      <c r="AG365" s="299"/>
      <c r="AH365" s="299"/>
      <c r="AI365" s="299"/>
      <c r="AJ365" s="299"/>
      <c r="AK365" s="299"/>
      <c r="AL365"/>
      <c r="AM365" s="124"/>
      <c r="AN365"/>
    </row>
    <row r="366" spans="1:40" s="30" customFormat="1" x14ac:dyDescent="0.25">
      <c r="A366" s="262"/>
      <c r="B366" s="244"/>
      <c r="C366" s="428"/>
      <c r="D366" s="428"/>
      <c r="E366" s="298"/>
      <c r="F366" s="831"/>
      <c r="G366"/>
      <c r="H366"/>
      <c r="I366" s="245"/>
      <c r="J366" s="295"/>
      <c r="K366" s="124"/>
      <c r="L366" s="299"/>
      <c r="M366" s="299"/>
      <c r="N366" s="299"/>
      <c r="O366" s="299"/>
      <c r="P366" s="299"/>
      <c r="Q366" s="299"/>
      <c r="R366" s="299"/>
      <c r="S366" s="299"/>
      <c r="T366" s="299"/>
      <c r="U366" s="124"/>
      <c r="V366" s="298"/>
      <c r="W366"/>
      <c r="X366"/>
      <c r="Y366"/>
      <c r="Z366" s="245"/>
      <c r="AA366" s="295"/>
      <c r="AB366" s="124"/>
      <c r="AC366" s="299"/>
      <c r="AD366" s="299"/>
      <c r="AE366" s="299"/>
      <c r="AF366" s="299"/>
      <c r="AG366" s="299"/>
      <c r="AH366" s="299"/>
      <c r="AI366" s="299"/>
      <c r="AJ366" s="299"/>
      <c r="AK366" s="299"/>
      <c r="AL366"/>
      <c r="AM366" s="124"/>
      <c r="AN366"/>
    </row>
    <row r="367" spans="1:40" s="30" customFormat="1" x14ac:dyDescent="0.25">
      <c r="A367" s="262"/>
      <c r="B367" s="244"/>
      <c r="C367" s="428"/>
      <c r="D367" s="428"/>
      <c r="E367" s="298"/>
      <c r="F367" s="831"/>
      <c r="G367"/>
      <c r="H367"/>
      <c r="I367" s="245"/>
      <c r="J367" s="295"/>
      <c r="K367" s="124"/>
      <c r="L367" s="299"/>
      <c r="M367" s="299"/>
      <c r="N367" s="299"/>
      <c r="O367" s="299"/>
      <c r="P367" s="299"/>
      <c r="Q367" s="299"/>
      <c r="R367" s="299"/>
      <c r="S367" s="299"/>
      <c r="T367" s="299"/>
      <c r="U367" s="124"/>
      <c r="V367" s="298"/>
      <c r="W367"/>
      <c r="X367"/>
      <c r="Y367"/>
      <c r="Z367" s="245"/>
      <c r="AA367" s="295"/>
      <c r="AB367" s="124"/>
      <c r="AC367" s="299"/>
      <c r="AD367" s="299"/>
      <c r="AE367" s="299"/>
      <c r="AF367" s="299"/>
      <c r="AG367" s="299"/>
      <c r="AH367" s="299"/>
      <c r="AI367" s="299"/>
      <c r="AJ367" s="299"/>
      <c r="AK367" s="299"/>
      <c r="AL367"/>
      <c r="AM367" s="124"/>
      <c r="AN367"/>
    </row>
    <row r="368" spans="1:40" s="30" customFormat="1" x14ac:dyDescent="0.25">
      <c r="A368" s="262"/>
      <c r="B368" s="244"/>
      <c r="C368" s="428"/>
      <c r="D368" s="428"/>
      <c r="E368" s="298"/>
      <c r="F368" s="831"/>
      <c r="G368"/>
      <c r="H368"/>
      <c r="I368" s="245"/>
      <c r="J368" s="295"/>
      <c r="K368" s="124"/>
      <c r="L368" s="299"/>
      <c r="M368" s="299"/>
      <c r="N368" s="299"/>
      <c r="O368" s="299"/>
      <c r="P368" s="299"/>
      <c r="Q368" s="299"/>
      <c r="R368" s="299"/>
      <c r="S368" s="299"/>
      <c r="T368" s="299"/>
      <c r="U368" s="124"/>
      <c r="V368" s="298"/>
      <c r="W368"/>
      <c r="X368"/>
      <c r="Y368"/>
      <c r="Z368" s="245"/>
      <c r="AA368" s="295"/>
      <c r="AB368" s="124"/>
      <c r="AC368" s="299"/>
      <c r="AD368" s="299"/>
      <c r="AE368" s="299"/>
      <c r="AF368" s="299"/>
      <c r="AG368" s="299"/>
      <c r="AH368" s="299"/>
      <c r="AI368" s="299"/>
      <c r="AJ368" s="299"/>
      <c r="AK368" s="299"/>
      <c r="AL368"/>
      <c r="AM368" s="124"/>
      <c r="AN368"/>
    </row>
    <row r="369" spans="1:40" s="30" customFormat="1" x14ac:dyDescent="0.25">
      <c r="A369" s="262"/>
      <c r="B369" s="244"/>
      <c r="C369" s="428"/>
      <c r="D369" s="428"/>
      <c r="E369" s="298"/>
      <c r="F369" s="831"/>
      <c r="G369"/>
      <c r="H369"/>
      <c r="I369" s="245"/>
      <c r="J369" s="295"/>
      <c r="K369" s="124"/>
      <c r="L369" s="299"/>
      <c r="M369" s="299"/>
      <c r="N369" s="299"/>
      <c r="O369" s="299"/>
      <c r="P369" s="299"/>
      <c r="Q369" s="299"/>
      <c r="R369" s="299"/>
      <c r="S369" s="299"/>
      <c r="T369" s="299"/>
      <c r="U369" s="124"/>
      <c r="V369" s="298"/>
      <c r="W369"/>
      <c r="X369"/>
      <c r="Y369"/>
      <c r="Z369" s="245"/>
      <c r="AA369" s="295"/>
      <c r="AB369" s="124"/>
      <c r="AC369" s="299"/>
      <c r="AD369" s="299"/>
      <c r="AE369" s="299"/>
      <c r="AF369" s="299"/>
      <c r="AG369" s="299"/>
      <c r="AH369" s="299"/>
      <c r="AI369" s="299"/>
      <c r="AJ369" s="299"/>
      <c r="AK369" s="299"/>
      <c r="AL369"/>
      <c r="AM369" s="124"/>
      <c r="AN369"/>
    </row>
    <row r="370" spans="1:40" s="30" customFormat="1" x14ac:dyDescent="0.25">
      <c r="A370" s="262"/>
      <c r="B370" s="244"/>
      <c r="C370" s="428"/>
      <c r="D370" s="428"/>
      <c r="E370" s="298"/>
      <c r="F370" s="831"/>
      <c r="G370"/>
      <c r="H370"/>
      <c r="I370" s="245"/>
      <c r="J370" s="295"/>
      <c r="K370" s="124"/>
      <c r="L370" s="299"/>
      <c r="M370" s="299"/>
      <c r="N370" s="299"/>
      <c r="O370" s="299"/>
      <c r="P370" s="299"/>
      <c r="Q370" s="299"/>
      <c r="R370" s="299"/>
      <c r="S370" s="299"/>
      <c r="T370" s="299"/>
      <c r="U370" s="124"/>
      <c r="V370" s="298"/>
      <c r="W370"/>
      <c r="X370"/>
      <c r="Y370"/>
      <c r="Z370" s="245"/>
      <c r="AA370" s="295"/>
      <c r="AB370" s="124"/>
      <c r="AC370" s="299"/>
      <c r="AD370" s="299"/>
      <c r="AE370" s="299"/>
      <c r="AF370" s="299"/>
      <c r="AG370" s="299"/>
      <c r="AH370" s="299"/>
      <c r="AI370" s="299"/>
      <c r="AJ370" s="299"/>
      <c r="AK370" s="299"/>
      <c r="AL370"/>
      <c r="AM370" s="124"/>
      <c r="AN370"/>
    </row>
    <row r="371" spans="1:40" s="30" customFormat="1" x14ac:dyDescent="0.25">
      <c r="A371" s="262"/>
      <c r="B371" s="244"/>
      <c r="C371" s="428"/>
      <c r="D371" s="428"/>
      <c r="E371" s="298"/>
      <c r="F371" s="831"/>
      <c r="G371"/>
      <c r="H371"/>
      <c r="I371" s="245"/>
      <c r="J371" s="295"/>
      <c r="K371" s="124"/>
      <c r="L371" s="299"/>
      <c r="M371" s="299"/>
      <c r="N371" s="299"/>
      <c r="O371" s="299"/>
      <c r="P371" s="299"/>
      <c r="Q371" s="299"/>
      <c r="R371" s="299"/>
      <c r="S371" s="299"/>
      <c r="T371" s="299"/>
      <c r="U371" s="124"/>
      <c r="V371" s="298"/>
      <c r="W371"/>
      <c r="X371"/>
      <c r="Y371"/>
      <c r="Z371" s="245"/>
      <c r="AA371" s="295"/>
      <c r="AB371" s="124"/>
      <c r="AC371" s="299"/>
      <c r="AD371" s="299"/>
      <c r="AE371" s="299"/>
      <c r="AF371" s="299"/>
      <c r="AG371" s="299"/>
      <c r="AH371" s="299"/>
      <c r="AI371" s="299"/>
      <c r="AJ371" s="299"/>
      <c r="AK371" s="299"/>
      <c r="AL371"/>
      <c r="AM371" s="124"/>
      <c r="AN371"/>
    </row>
    <row r="372" spans="1:40" s="30" customFormat="1" x14ac:dyDescent="0.25">
      <c r="A372" s="262"/>
      <c r="B372" s="244"/>
      <c r="C372" s="428"/>
      <c r="D372" s="428"/>
      <c r="E372" s="298"/>
      <c r="F372" s="831"/>
      <c r="G372"/>
      <c r="H372"/>
      <c r="I372" s="245"/>
      <c r="J372" s="295"/>
      <c r="K372" s="124"/>
      <c r="L372" s="299"/>
      <c r="M372" s="299"/>
      <c r="N372" s="299"/>
      <c r="O372" s="299"/>
      <c r="P372" s="299"/>
      <c r="Q372" s="299"/>
      <c r="R372" s="299"/>
      <c r="S372" s="299"/>
      <c r="T372" s="299"/>
      <c r="U372" s="124"/>
      <c r="V372" s="298"/>
      <c r="W372"/>
      <c r="X372"/>
      <c r="Y372"/>
      <c r="Z372" s="245"/>
      <c r="AA372" s="295"/>
      <c r="AB372" s="124"/>
      <c r="AC372" s="299"/>
      <c r="AD372" s="299"/>
      <c r="AE372" s="299"/>
      <c r="AF372" s="299"/>
      <c r="AG372" s="299"/>
      <c r="AH372" s="299"/>
      <c r="AI372" s="299"/>
      <c r="AJ372" s="299"/>
      <c r="AK372" s="299"/>
      <c r="AL372"/>
      <c r="AM372" s="124"/>
      <c r="AN372"/>
    </row>
    <row r="373" spans="1:40" s="30" customFormat="1" x14ac:dyDescent="0.25">
      <c r="A373" s="262"/>
      <c r="B373" s="244"/>
      <c r="C373" s="428"/>
      <c r="D373" s="428"/>
      <c r="E373" s="298"/>
      <c r="F373" s="831"/>
      <c r="G373"/>
      <c r="H373"/>
      <c r="I373" s="245"/>
      <c r="J373" s="295"/>
      <c r="K373" s="124"/>
      <c r="L373" s="299"/>
      <c r="M373" s="299"/>
      <c r="N373" s="299"/>
      <c r="O373" s="299"/>
      <c r="P373" s="299"/>
      <c r="Q373" s="299"/>
      <c r="R373" s="299"/>
      <c r="S373" s="299"/>
      <c r="T373" s="299"/>
      <c r="U373" s="124"/>
      <c r="V373" s="298"/>
      <c r="W373"/>
      <c r="X373"/>
      <c r="Y373"/>
      <c r="Z373" s="245"/>
      <c r="AA373" s="295"/>
      <c r="AB373" s="124"/>
      <c r="AC373" s="299"/>
      <c r="AD373" s="299"/>
      <c r="AE373" s="299"/>
      <c r="AF373" s="299"/>
      <c r="AG373" s="299"/>
      <c r="AH373" s="299"/>
      <c r="AI373" s="299"/>
      <c r="AJ373" s="299"/>
      <c r="AK373" s="299"/>
      <c r="AL373"/>
      <c r="AM373" s="124"/>
      <c r="AN373"/>
    </row>
    <row r="374" spans="1:40" s="30" customFormat="1" x14ac:dyDescent="0.25">
      <c r="A374" s="262"/>
      <c r="B374" s="244"/>
      <c r="C374" s="428"/>
      <c r="D374" s="428"/>
      <c r="E374" s="298"/>
      <c r="F374" s="831"/>
      <c r="G374"/>
      <c r="H374"/>
      <c r="I374" s="245"/>
      <c r="J374" s="295"/>
      <c r="K374" s="124"/>
      <c r="L374" s="299"/>
      <c r="M374" s="299"/>
      <c r="N374" s="299"/>
      <c r="O374" s="299"/>
      <c r="P374" s="299"/>
      <c r="Q374" s="299"/>
      <c r="R374" s="299"/>
      <c r="S374" s="299"/>
      <c r="T374" s="299"/>
      <c r="U374" s="124"/>
      <c r="V374" s="298"/>
      <c r="W374"/>
      <c r="X374"/>
      <c r="Y374"/>
      <c r="Z374" s="245"/>
      <c r="AA374" s="295"/>
      <c r="AB374" s="124"/>
      <c r="AC374" s="299"/>
      <c r="AD374" s="299"/>
      <c r="AE374" s="299"/>
      <c r="AF374" s="299"/>
      <c r="AG374" s="299"/>
      <c r="AH374" s="299"/>
      <c r="AI374" s="299"/>
      <c r="AJ374" s="299"/>
      <c r="AK374" s="299"/>
      <c r="AL374"/>
      <c r="AM374" s="124"/>
      <c r="AN374"/>
    </row>
    <row r="375" spans="1:40" s="30" customFormat="1" x14ac:dyDescent="0.25">
      <c r="A375" s="262"/>
      <c r="B375" s="244"/>
      <c r="C375" s="428"/>
      <c r="D375" s="428"/>
      <c r="E375" s="298"/>
      <c r="F375" s="831"/>
      <c r="G375"/>
      <c r="H375"/>
      <c r="I375" s="245"/>
      <c r="J375" s="295"/>
      <c r="K375" s="124"/>
      <c r="L375" s="299"/>
      <c r="M375" s="299"/>
      <c r="N375" s="299"/>
      <c r="O375" s="299"/>
      <c r="P375" s="299"/>
      <c r="Q375" s="299"/>
      <c r="R375" s="299"/>
      <c r="S375" s="299"/>
      <c r="T375" s="299"/>
      <c r="U375" s="124"/>
      <c r="V375" s="298"/>
      <c r="W375"/>
      <c r="X375"/>
      <c r="Y375"/>
      <c r="Z375" s="245"/>
      <c r="AA375" s="295"/>
      <c r="AB375" s="124"/>
      <c r="AC375" s="299"/>
      <c r="AD375" s="299"/>
      <c r="AE375" s="299"/>
      <c r="AF375" s="299"/>
      <c r="AG375" s="299"/>
      <c r="AH375" s="299"/>
      <c r="AI375" s="299"/>
      <c r="AJ375" s="299"/>
      <c r="AK375" s="299"/>
      <c r="AL375"/>
      <c r="AM375" s="124"/>
      <c r="AN375"/>
    </row>
    <row r="376" spans="1:40" s="30" customFormat="1" x14ac:dyDescent="0.25">
      <c r="A376" s="262"/>
      <c r="B376" s="244"/>
      <c r="C376" s="428"/>
      <c r="D376" s="428"/>
      <c r="E376" s="298"/>
      <c r="F376" s="831"/>
      <c r="G376"/>
      <c r="H376"/>
      <c r="I376" s="245"/>
      <c r="J376" s="295"/>
      <c r="K376" s="124"/>
      <c r="L376" s="299"/>
      <c r="M376" s="299"/>
      <c r="N376" s="299"/>
      <c r="O376" s="299"/>
      <c r="P376" s="299"/>
      <c r="Q376" s="299"/>
      <c r="R376" s="299"/>
      <c r="S376" s="299"/>
      <c r="T376" s="299"/>
      <c r="U376" s="124"/>
      <c r="V376" s="298"/>
      <c r="W376"/>
      <c r="X376"/>
      <c r="Y376"/>
      <c r="Z376" s="245"/>
      <c r="AA376" s="295"/>
      <c r="AB376" s="124"/>
      <c r="AC376" s="299"/>
      <c r="AD376" s="299"/>
      <c r="AE376" s="299"/>
      <c r="AF376" s="299"/>
      <c r="AG376" s="299"/>
      <c r="AH376" s="299"/>
      <c r="AI376" s="299"/>
      <c r="AJ376" s="299"/>
      <c r="AK376" s="299"/>
      <c r="AL376"/>
      <c r="AM376" s="124"/>
      <c r="AN376"/>
    </row>
    <row r="377" spans="1:40" s="30" customFormat="1" x14ac:dyDescent="0.25">
      <c r="A377" s="262"/>
      <c r="B377" s="244"/>
      <c r="C377" s="428"/>
      <c r="D377" s="428"/>
      <c r="E377" s="298"/>
      <c r="F377" s="831"/>
      <c r="G377"/>
      <c r="H377"/>
      <c r="I377" s="245"/>
      <c r="J377" s="295"/>
      <c r="K377" s="124"/>
      <c r="L377" s="299"/>
      <c r="M377" s="299"/>
      <c r="N377" s="299"/>
      <c r="O377" s="299"/>
      <c r="P377" s="299"/>
      <c r="Q377" s="299"/>
      <c r="R377" s="299"/>
      <c r="S377" s="299"/>
      <c r="T377" s="299"/>
      <c r="U377" s="124"/>
      <c r="V377" s="298"/>
      <c r="W377"/>
      <c r="X377"/>
      <c r="Y377"/>
      <c r="Z377" s="245"/>
      <c r="AA377" s="295"/>
      <c r="AB377" s="124"/>
      <c r="AC377" s="299"/>
      <c r="AD377" s="299"/>
      <c r="AE377" s="299"/>
      <c r="AF377" s="299"/>
      <c r="AG377" s="299"/>
      <c r="AH377" s="299"/>
      <c r="AI377" s="299"/>
      <c r="AJ377" s="299"/>
      <c r="AK377" s="299"/>
      <c r="AL377"/>
      <c r="AM377" s="124"/>
      <c r="AN377"/>
    </row>
    <row r="378" spans="1:40" s="30" customFormat="1" x14ac:dyDescent="0.25">
      <c r="A378" s="262"/>
      <c r="B378" s="244"/>
      <c r="C378" s="428"/>
      <c r="D378" s="428"/>
      <c r="E378" s="298"/>
      <c r="F378" s="831"/>
      <c r="G378"/>
      <c r="H378"/>
      <c r="I378" s="245"/>
      <c r="J378" s="295"/>
      <c r="K378" s="124"/>
      <c r="L378" s="299"/>
      <c r="M378" s="299"/>
      <c r="N378" s="299"/>
      <c r="O378" s="299"/>
      <c r="P378" s="299"/>
      <c r="Q378" s="299"/>
      <c r="R378" s="299"/>
      <c r="S378" s="299"/>
      <c r="T378" s="299"/>
      <c r="U378" s="124"/>
      <c r="V378" s="298"/>
      <c r="W378"/>
      <c r="X378"/>
      <c r="Y378"/>
      <c r="Z378" s="245"/>
      <c r="AA378" s="295"/>
      <c r="AB378" s="124"/>
      <c r="AC378" s="299"/>
      <c r="AD378" s="299"/>
      <c r="AE378" s="299"/>
      <c r="AF378" s="299"/>
      <c r="AG378" s="299"/>
      <c r="AH378" s="299"/>
      <c r="AI378" s="299"/>
      <c r="AJ378" s="299"/>
      <c r="AK378" s="299"/>
      <c r="AL378"/>
      <c r="AM378" s="124"/>
      <c r="AN378"/>
    </row>
    <row r="379" spans="1:40" s="30" customFormat="1" x14ac:dyDescent="0.25">
      <c r="A379" s="262"/>
      <c r="B379" s="244"/>
      <c r="C379" s="428"/>
      <c r="D379" s="428"/>
      <c r="E379" s="298"/>
      <c r="F379" s="831"/>
      <c r="G379"/>
      <c r="H379"/>
      <c r="I379" s="245"/>
      <c r="J379" s="295"/>
      <c r="K379" s="124"/>
      <c r="L379" s="299"/>
      <c r="M379" s="299"/>
      <c r="N379" s="299"/>
      <c r="O379" s="299"/>
      <c r="P379" s="299"/>
      <c r="Q379" s="299"/>
      <c r="R379" s="299"/>
      <c r="S379" s="299"/>
      <c r="T379" s="299"/>
      <c r="U379" s="124"/>
      <c r="V379" s="298"/>
      <c r="W379"/>
      <c r="X379"/>
      <c r="Y379"/>
      <c r="Z379" s="245"/>
      <c r="AA379" s="295"/>
      <c r="AB379" s="124"/>
      <c r="AC379" s="299"/>
      <c r="AD379" s="299"/>
      <c r="AE379" s="299"/>
      <c r="AF379" s="299"/>
      <c r="AG379" s="299"/>
      <c r="AH379" s="299"/>
      <c r="AI379" s="299"/>
      <c r="AJ379" s="299"/>
      <c r="AK379" s="299"/>
      <c r="AL379"/>
      <c r="AM379" s="124"/>
      <c r="AN379"/>
    </row>
    <row r="380" spans="1:40" s="30" customFormat="1" x14ac:dyDescent="0.25">
      <c r="A380" s="262"/>
      <c r="B380" s="244"/>
      <c r="C380" s="428"/>
      <c r="D380" s="428"/>
      <c r="E380" s="298"/>
      <c r="F380" s="831"/>
      <c r="G380"/>
      <c r="H380"/>
      <c r="I380" s="245"/>
      <c r="J380" s="295"/>
      <c r="K380" s="124"/>
      <c r="L380" s="299"/>
      <c r="M380" s="299"/>
      <c r="N380" s="299"/>
      <c r="O380" s="299"/>
      <c r="P380" s="299"/>
      <c r="Q380" s="299"/>
      <c r="R380" s="299"/>
      <c r="S380" s="299"/>
      <c r="T380" s="299"/>
      <c r="U380" s="124"/>
      <c r="V380" s="298"/>
      <c r="W380"/>
      <c r="X380"/>
      <c r="Y380"/>
      <c r="Z380" s="245"/>
      <c r="AA380" s="295"/>
      <c r="AB380" s="124"/>
      <c r="AC380" s="299"/>
      <c r="AD380" s="299"/>
      <c r="AE380" s="299"/>
      <c r="AF380" s="299"/>
      <c r="AG380" s="299"/>
      <c r="AH380" s="299"/>
      <c r="AI380" s="299"/>
      <c r="AJ380" s="299"/>
      <c r="AK380" s="299"/>
      <c r="AL380"/>
      <c r="AM380" s="124"/>
      <c r="AN380"/>
    </row>
    <row r="381" spans="1:40" s="30" customFormat="1" x14ac:dyDescent="0.25">
      <c r="A381" s="262"/>
      <c r="B381" s="244"/>
      <c r="C381" s="428"/>
      <c r="D381" s="428"/>
      <c r="E381" s="298"/>
      <c r="F381" s="831"/>
      <c r="G381"/>
      <c r="H381"/>
      <c r="I381" s="245"/>
      <c r="J381" s="295"/>
      <c r="K381" s="124"/>
      <c r="L381" s="299"/>
      <c r="M381" s="299"/>
      <c r="N381" s="299"/>
      <c r="O381" s="299"/>
      <c r="P381" s="299"/>
      <c r="Q381" s="299"/>
      <c r="R381" s="299"/>
      <c r="S381" s="299"/>
      <c r="T381" s="299"/>
      <c r="U381" s="124"/>
      <c r="V381" s="298"/>
      <c r="W381"/>
      <c r="X381"/>
      <c r="Y381"/>
      <c r="Z381" s="245"/>
      <c r="AA381" s="295"/>
      <c r="AB381" s="124"/>
      <c r="AC381" s="299"/>
      <c r="AD381" s="299"/>
      <c r="AE381" s="299"/>
      <c r="AF381" s="299"/>
      <c r="AG381" s="299"/>
      <c r="AH381" s="299"/>
      <c r="AI381" s="299"/>
      <c r="AJ381" s="299"/>
      <c r="AK381" s="299"/>
      <c r="AL381"/>
      <c r="AM381" s="124"/>
      <c r="AN381"/>
    </row>
    <row r="382" spans="1:40" s="30" customFormat="1" x14ac:dyDescent="0.25">
      <c r="A382" s="262"/>
      <c r="B382" s="244"/>
      <c r="C382" s="428"/>
      <c r="D382" s="428"/>
      <c r="E382" s="298"/>
      <c r="F382" s="831"/>
      <c r="G382"/>
      <c r="H382"/>
      <c r="I382" s="245"/>
      <c r="J382" s="295"/>
      <c r="K382" s="124"/>
      <c r="L382" s="299"/>
      <c r="M382" s="299"/>
      <c r="N382" s="299"/>
      <c r="O382" s="299"/>
      <c r="P382" s="299"/>
      <c r="Q382" s="299"/>
      <c r="R382" s="299"/>
      <c r="S382" s="299"/>
      <c r="T382" s="299"/>
      <c r="U382" s="124"/>
      <c r="V382" s="298"/>
      <c r="W382"/>
      <c r="X382"/>
      <c r="Y382"/>
      <c r="Z382" s="245"/>
      <c r="AA382" s="295"/>
      <c r="AB382" s="124"/>
      <c r="AC382" s="299"/>
      <c r="AD382" s="299"/>
      <c r="AE382" s="299"/>
      <c r="AF382" s="299"/>
      <c r="AG382" s="299"/>
      <c r="AH382" s="299"/>
      <c r="AI382" s="299"/>
      <c r="AJ382" s="299"/>
      <c r="AK382" s="299"/>
      <c r="AL382"/>
      <c r="AM382" s="124"/>
      <c r="AN382"/>
    </row>
    <row r="383" spans="1:40" s="30" customFormat="1" x14ac:dyDescent="0.25">
      <c r="A383" s="262"/>
      <c r="B383" s="244"/>
      <c r="C383" s="428"/>
      <c r="D383" s="428"/>
      <c r="E383" s="298"/>
      <c r="F383" s="831"/>
      <c r="G383"/>
      <c r="H383"/>
      <c r="I383" s="245"/>
      <c r="J383" s="295"/>
      <c r="K383" s="124"/>
      <c r="L383" s="299"/>
      <c r="M383" s="299"/>
      <c r="N383" s="299"/>
      <c r="O383" s="299"/>
      <c r="P383" s="299"/>
      <c r="Q383" s="299"/>
      <c r="R383" s="299"/>
      <c r="S383" s="299"/>
      <c r="T383" s="299"/>
      <c r="U383" s="124"/>
      <c r="V383" s="298"/>
      <c r="W383"/>
      <c r="X383"/>
      <c r="Y383"/>
      <c r="Z383" s="245"/>
      <c r="AA383" s="295"/>
      <c r="AB383" s="124"/>
      <c r="AC383" s="299"/>
      <c r="AD383" s="299"/>
      <c r="AE383" s="299"/>
      <c r="AF383" s="299"/>
      <c r="AG383" s="299"/>
      <c r="AH383" s="299"/>
      <c r="AI383" s="299"/>
      <c r="AJ383" s="299"/>
      <c r="AK383" s="299"/>
      <c r="AL383"/>
      <c r="AM383" s="124"/>
      <c r="AN383"/>
    </row>
    <row r="384" spans="1:40" s="30" customFormat="1" x14ac:dyDescent="0.25">
      <c r="A384" s="262"/>
      <c r="B384" s="244"/>
      <c r="C384" s="428"/>
      <c r="D384" s="428"/>
      <c r="E384" s="298"/>
      <c r="F384" s="831"/>
      <c r="G384"/>
      <c r="H384"/>
      <c r="I384" s="245"/>
      <c r="J384" s="295"/>
      <c r="K384" s="124"/>
      <c r="L384" s="299"/>
      <c r="M384" s="299"/>
      <c r="N384" s="299"/>
      <c r="O384" s="299"/>
      <c r="P384" s="299"/>
      <c r="Q384" s="299"/>
      <c r="R384" s="299"/>
      <c r="S384" s="299"/>
      <c r="T384" s="299"/>
      <c r="U384" s="124"/>
      <c r="V384" s="298"/>
      <c r="W384"/>
      <c r="X384"/>
      <c r="Y384"/>
      <c r="Z384" s="245"/>
      <c r="AA384" s="295"/>
      <c r="AB384" s="124"/>
      <c r="AC384" s="299"/>
      <c r="AD384" s="299"/>
      <c r="AE384" s="299"/>
      <c r="AF384" s="299"/>
      <c r="AG384" s="299"/>
      <c r="AH384" s="299"/>
      <c r="AI384" s="299"/>
      <c r="AJ384" s="299"/>
      <c r="AK384" s="299"/>
      <c r="AL384"/>
      <c r="AM384" s="124"/>
      <c r="AN384"/>
    </row>
    <row r="385" spans="1:40" s="123" customFormat="1" x14ac:dyDescent="0.25">
      <c r="A385" s="262"/>
      <c r="B385" s="244"/>
      <c r="C385" s="428"/>
      <c r="D385" s="428"/>
      <c r="E385" s="298"/>
      <c r="F385" s="831"/>
      <c r="G385"/>
      <c r="H385"/>
      <c r="I385" s="245"/>
      <c r="J385" s="295"/>
      <c r="K385" s="124"/>
      <c r="L385" s="299"/>
      <c r="M385" s="299"/>
      <c r="N385" s="299"/>
      <c r="O385" s="299"/>
      <c r="P385" s="299"/>
      <c r="Q385" s="299"/>
      <c r="R385" s="299"/>
      <c r="S385" s="299"/>
      <c r="T385" s="299"/>
      <c r="U385" s="124"/>
      <c r="V385" s="298"/>
      <c r="W385"/>
      <c r="X385"/>
      <c r="Y385"/>
      <c r="Z385" s="245"/>
      <c r="AA385" s="295"/>
      <c r="AB385" s="124"/>
      <c r="AC385" s="299"/>
      <c r="AD385" s="299"/>
      <c r="AE385" s="299"/>
      <c r="AF385" s="299"/>
      <c r="AG385" s="299"/>
      <c r="AH385" s="299"/>
      <c r="AI385" s="299"/>
      <c r="AJ385" s="299"/>
      <c r="AK385" s="299"/>
      <c r="AL385"/>
      <c r="AM385" s="124"/>
      <c r="AN385"/>
    </row>
    <row r="386" spans="1:40" s="123" customFormat="1" x14ac:dyDescent="0.25">
      <c r="A386" s="262"/>
      <c r="B386" s="244"/>
      <c r="C386" s="428"/>
      <c r="D386" s="428"/>
      <c r="E386" s="298"/>
      <c r="F386" s="831"/>
      <c r="G386"/>
      <c r="H386"/>
      <c r="I386" s="245"/>
      <c r="J386" s="295"/>
      <c r="K386" s="124"/>
      <c r="L386" s="299"/>
      <c r="M386" s="299"/>
      <c r="N386" s="299"/>
      <c r="O386" s="299"/>
      <c r="P386" s="299"/>
      <c r="Q386" s="299"/>
      <c r="R386" s="299"/>
      <c r="S386" s="299"/>
      <c r="T386" s="299"/>
      <c r="U386" s="124"/>
      <c r="V386" s="298"/>
      <c r="W386"/>
      <c r="X386"/>
      <c r="Y386"/>
      <c r="Z386" s="245"/>
      <c r="AA386" s="295"/>
      <c r="AB386" s="124"/>
      <c r="AC386" s="299"/>
      <c r="AD386" s="299"/>
      <c r="AE386" s="299"/>
      <c r="AF386" s="299"/>
      <c r="AG386" s="299"/>
      <c r="AH386" s="299"/>
      <c r="AI386" s="299"/>
      <c r="AJ386" s="299"/>
      <c r="AK386" s="299"/>
      <c r="AL386"/>
      <c r="AM386" s="124"/>
      <c r="AN386"/>
    </row>
    <row r="387" spans="1:40" s="430" customFormat="1" ht="15.75" customHeight="1" x14ac:dyDescent="0.25">
      <c r="A387" s="262"/>
      <c r="B387" s="244"/>
      <c r="C387" s="428"/>
      <c r="D387" s="428"/>
      <c r="E387" s="298"/>
      <c r="F387" s="831"/>
      <c r="G387"/>
      <c r="H387"/>
      <c r="I387" s="245"/>
      <c r="J387" s="295"/>
      <c r="K387" s="124"/>
      <c r="L387" s="299"/>
      <c r="M387" s="299"/>
      <c r="N387" s="299"/>
      <c r="O387" s="299"/>
      <c r="P387" s="299"/>
      <c r="Q387" s="299"/>
      <c r="R387" s="299"/>
      <c r="S387" s="299"/>
      <c r="T387" s="299"/>
      <c r="U387" s="124"/>
      <c r="V387" s="298"/>
      <c r="W387"/>
      <c r="X387"/>
      <c r="Y387"/>
      <c r="Z387" s="245"/>
      <c r="AA387" s="295"/>
      <c r="AB387" s="124"/>
      <c r="AC387" s="299"/>
      <c r="AD387" s="299"/>
      <c r="AE387" s="299"/>
      <c r="AF387" s="299"/>
      <c r="AG387" s="299"/>
      <c r="AH387" s="299"/>
      <c r="AI387" s="299"/>
      <c r="AJ387" s="299"/>
      <c r="AK387" s="299"/>
      <c r="AL387"/>
      <c r="AM387" s="124"/>
      <c r="AN387"/>
    </row>
    <row r="388" spans="1:40" s="30" customFormat="1" x14ac:dyDescent="0.25">
      <c r="A388" s="262"/>
      <c r="B388" s="244"/>
      <c r="C388" s="428"/>
      <c r="D388" s="428"/>
      <c r="E388" s="298"/>
      <c r="F388" s="831"/>
      <c r="G388"/>
      <c r="H388"/>
      <c r="I388" s="245"/>
      <c r="J388" s="295"/>
      <c r="K388" s="124"/>
      <c r="L388" s="299"/>
      <c r="M388" s="299"/>
      <c r="N388" s="299"/>
      <c r="O388" s="299"/>
      <c r="P388" s="299"/>
      <c r="Q388" s="299"/>
      <c r="R388" s="299"/>
      <c r="S388" s="299"/>
      <c r="T388" s="299"/>
      <c r="U388" s="124"/>
      <c r="V388" s="298"/>
      <c r="W388"/>
      <c r="X388"/>
      <c r="Y388"/>
      <c r="Z388" s="245"/>
      <c r="AA388" s="295"/>
      <c r="AB388" s="124"/>
      <c r="AC388" s="299"/>
      <c r="AD388" s="299"/>
      <c r="AE388" s="299"/>
      <c r="AF388" s="299"/>
      <c r="AG388" s="299"/>
      <c r="AH388" s="299"/>
      <c r="AI388" s="299"/>
      <c r="AJ388" s="299"/>
      <c r="AK388" s="299"/>
      <c r="AL388"/>
      <c r="AM388" s="124"/>
      <c r="AN388"/>
    </row>
    <row r="389" spans="1:40" s="30" customFormat="1" x14ac:dyDescent="0.25">
      <c r="A389" s="262"/>
      <c r="B389" s="244"/>
      <c r="C389" s="428"/>
      <c r="D389" s="428"/>
      <c r="E389" s="298"/>
      <c r="F389" s="831"/>
      <c r="G389"/>
      <c r="H389"/>
      <c r="I389" s="245"/>
      <c r="J389" s="295"/>
      <c r="K389" s="124"/>
      <c r="L389" s="299"/>
      <c r="M389" s="299"/>
      <c r="N389" s="299"/>
      <c r="O389" s="299"/>
      <c r="P389" s="299"/>
      <c r="Q389" s="299"/>
      <c r="R389" s="299"/>
      <c r="S389" s="299"/>
      <c r="T389" s="299"/>
      <c r="U389" s="124"/>
      <c r="V389" s="298"/>
      <c r="W389"/>
      <c r="X389"/>
      <c r="Y389"/>
      <c r="Z389" s="245"/>
      <c r="AA389" s="295"/>
      <c r="AB389" s="124"/>
      <c r="AC389" s="299"/>
      <c r="AD389" s="299"/>
      <c r="AE389" s="299"/>
      <c r="AF389" s="299"/>
      <c r="AG389" s="299"/>
      <c r="AH389" s="299"/>
      <c r="AI389" s="299"/>
      <c r="AJ389" s="299"/>
      <c r="AK389" s="299"/>
      <c r="AL389"/>
      <c r="AM389" s="124"/>
      <c r="AN389"/>
    </row>
    <row r="402" spans="1:40" s="6" customFormat="1" x14ac:dyDescent="0.25">
      <c r="A402" s="262"/>
      <c r="B402" s="244"/>
      <c r="C402" s="428"/>
      <c r="D402" s="428"/>
      <c r="E402" s="298"/>
      <c r="F402" s="831"/>
      <c r="G402"/>
      <c r="H402"/>
      <c r="I402" s="245"/>
      <c r="J402" s="295"/>
      <c r="K402" s="124"/>
      <c r="L402" s="299"/>
      <c r="M402" s="299"/>
      <c r="N402" s="299"/>
      <c r="O402" s="299"/>
      <c r="P402" s="299"/>
      <c r="Q402" s="299"/>
      <c r="R402" s="299"/>
      <c r="S402" s="299"/>
      <c r="T402" s="299"/>
      <c r="U402" s="124"/>
      <c r="V402" s="298"/>
      <c r="W402"/>
      <c r="X402"/>
      <c r="Y402"/>
      <c r="Z402" s="245"/>
      <c r="AA402" s="295"/>
      <c r="AB402" s="124"/>
      <c r="AC402" s="299"/>
      <c r="AD402" s="299"/>
      <c r="AE402" s="299"/>
      <c r="AF402" s="299"/>
      <c r="AG402" s="299"/>
      <c r="AH402" s="299"/>
      <c r="AI402" s="299"/>
      <c r="AJ402" s="299"/>
      <c r="AK402" s="299"/>
      <c r="AL402"/>
      <c r="AM402" s="124"/>
      <c r="AN402"/>
    </row>
    <row r="403" spans="1:40" s="6" customFormat="1" x14ac:dyDescent="0.25">
      <c r="A403" s="262"/>
      <c r="B403" s="244"/>
      <c r="C403" s="428"/>
      <c r="D403" s="428"/>
      <c r="E403" s="298"/>
      <c r="F403" s="831"/>
      <c r="G403"/>
      <c r="H403"/>
      <c r="I403" s="245"/>
      <c r="J403" s="295"/>
      <c r="K403" s="124"/>
      <c r="L403" s="299"/>
      <c r="M403" s="299"/>
      <c r="N403" s="299"/>
      <c r="O403" s="299"/>
      <c r="P403" s="299"/>
      <c r="Q403" s="299"/>
      <c r="R403" s="299"/>
      <c r="S403" s="299"/>
      <c r="T403" s="299"/>
      <c r="U403" s="124"/>
      <c r="V403" s="298"/>
      <c r="W403"/>
      <c r="X403"/>
      <c r="Y403"/>
      <c r="Z403" s="245"/>
      <c r="AA403" s="295"/>
      <c r="AB403" s="124"/>
      <c r="AC403" s="299"/>
      <c r="AD403" s="299"/>
      <c r="AE403" s="299"/>
      <c r="AF403" s="299"/>
      <c r="AG403" s="299"/>
      <c r="AH403" s="299"/>
      <c r="AI403" s="299"/>
      <c r="AJ403" s="299"/>
      <c r="AK403" s="299"/>
      <c r="AL403"/>
      <c r="AM403" s="124"/>
      <c r="AN403"/>
    </row>
    <row r="420" spans="1:40" s="6" customFormat="1" x14ac:dyDescent="0.25">
      <c r="A420" s="262"/>
      <c r="B420" s="244"/>
      <c r="C420" s="428"/>
      <c r="D420" s="428"/>
      <c r="E420" s="298"/>
      <c r="F420" s="831"/>
      <c r="G420"/>
      <c r="H420"/>
      <c r="I420" s="245"/>
      <c r="J420" s="295"/>
      <c r="K420" s="124"/>
      <c r="L420" s="299"/>
      <c r="M420" s="299"/>
      <c r="N420" s="299"/>
      <c r="O420" s="299"/>
      <c r="P420" s="299"/>
      <c r="Q420" s="299"/>
      <c r="R420" s="299"/>
      <c r="S420" s="299"/>
      <c r="T420" s="299"/>
      <c r="U420" s="124"/>
      <c r="V420" s="298"/>
      <c r="W420"/>
      <c r="X420"/>
      <c r="Y420"/>
      <c r="Z420" s="245"/>
      <c r="AA420" s="295"/>
      <c r="AB420" s="124"/>
      <c r="AC420" s="299"/>
      <c r="AD420" s="299"/>
      <c r="AE420" s="299"/>
      <c r="AF420" s="299"/>
      <c r="AG420" s="299"/>
      <c r="AH420" s="299"/>
      <c r="AI420" s="299"/>
      <c r="AJ420" s="299"/>
      <c r="AK420" s="299"/>
      <c r="AL420"/>
      <c r="AM420" s="124"/>
      <c r="AN420"/>
    </row>
  </sheetData>
  <mergeCells count="41">
    <mergeCell ref="T4:T5"/>
    <mergeCell ref="E2:K3"/>
    <mergeCell ref="A4:A5"/>
    <mergeCell ref="B4:B5"/>
    <mergeCell ref="V1:AK1"/>
    <mergeCell ref="AG4:AG5"/>
    <mergeCell ref="AA4:AA5"/>
    <mergeCell ref="AB4:AB5"/>
    <mergeCell ref="W4:W5"/>
    <mergeCell ref="V4:V5"/>
    <mergeCell ref="V2:AB3"/>
    <mergeCell ref="E4:E5"/>
    <mergeCell ref="F4:F5"/>
    <mergeCell ref="G4:G5"/>
    <mergeCell ref="H4:H5"/>
    <mergeCell ref="I4:I5"/>
    <mergeCell ref="J4:J5"/>
    <mergeCell ref="L4:L5"/>
    <mergeCell ref="O4:O5"/>
    <mergeCell ref="N4:N5"/>
    <mergeCell ref="R4:R5"/>
    <mergeCell ref="K4:K5"/>
    <mergeCell ref="M4:M5"/>
    <mergeCell ref="P4:P5"/>
    <mergeCell ref="Q4:Q5"/>
    <mergeCell ref="L2:T3"/>
    <mergeCell ref="S4:S5"/>
    <mergeCell ref="AN265:AQ266"/>
    <mergeCell ref="AC2:AK3"/>
    <mergeCell ref="AI4:AI5"/>
    <mergeCell ref="AJ4:AJ5"/>
    <mergeCell ref="AD4:AD5"/>
    <mergeCell ref="AN4:AN5"/>
    <mergeCell ref="AF4:AF5"/>
    <mergeCell ref="AE4:AE5"/>
    <mergeCell ref="AC4:AC5"/>
    <mergeCell ref="X4:X5"/>
    <mergeCell ref="AH4:AH5"/>
    <mergeCell ref="AK4:AK5"/>
    <mergeCell ref="Y4:Y5"/>
    <mergeCell ref="Z4:Z5"/>
  </mergeCells>
  <pageMargins left="0.7" right="0.7" top="0.75" bottom="0.75" header="0.3" footer="0.3"/>
  <pageSetup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3"/>
  <sheetViews>
    <sheetView workbookViewId="0">
      <selection activeCell="C18" sqref="C18"/>
    </sheetView>
  </sheetViews>
  <sheetFormatPr defaultRowHeight="15" x14ac:dyDescent="0.25"/>
  <cols>
    <col min="1" max="1" width="11.5703125" customWidth="1"/>
    <col min="2" max="2" width="64.5703125" customWidth="1"/>
    <col min="3" max="3" width="16.140625" style="104" bestFit="1" customWidth="1"/>
    <col min="4" max="4" width="11.42578125" style="104" customWidth="1"/>
    <col min="5" max="5" width="6.5703125" customWidth="1"/>
    <col min="6" max="6" width="10.28515625" style="18" customWidth="1"/>
    <col min="7" max="7" width="14.85546875" style="18" customWidth="1"/>
    <col min="8" max="8" width="16.140625" customWidth="1"/>
    <col min="9" max="9" width="14.5703125" bestFit="1" customWidth="1"/>
  </cols>
  <sheetData>
    <row r="1" spans="1:18" s="20" customFormat="1" ht="31.5" x14ac:dyDescent="0.25">
      <c r="A1" s="68" t="s">
        <v>69</v>
      </c>
      <c r="B1" s="69" t="s">
        <v>41</v>
      </c>
      <c r="C1" s="70" t="s">
        <v>72</v>
      </c>
      <c r="D1" s="284" t="s">
        <v>65</v>
      </c>
      <c r="E1" s="127" t="s">
        <v>42</v>
      </c>
      <c r="F1" s="128" t="s">
        <v>45</v>
      </c>
      <c r="G1" s="73" t="s">
        <v>75</v>
      </c>
      <c r="H1" s="69" t="s">
        <v>67</v>
      </c>
      <c r="I1" s="71" t="s">
        <v>66</v>
      </c>
    </row>
    <row r="2" spans="1:18" ht="15.95" customHeight="1" x14ac:dyDescent="0.25">
      <c r="A2" s="47" t="s">
        <v>73</v>
      </c>
      <c r="B2" s="48"/>
      <c r="C2" s="49"/>
      <c r="D2" s="49"/>
      <c r="E2" s="48"/>
      <c r="F2" s="74"/>
      <c r="G2" s="74"/>
      <c r="H2" s="48"/>
      <c r="I2" s="59"/>
    </row>
    <row r="3" spans="1:18" s="6" customFormat="1" ht="15.95" customHeight="1" x14ac:dyDescent="0.25">
      <c r="A3" s="60" t="s">
        <v>210</v>
      </c>
      <c r="B3" s="57" t="s">
        <v>436</v>
      </c>
      <c r="C3" s="61" t="s">
        <v>437</v>
      </c>
      <c r="D3" s="102" t="s">
        <v>438</v>
      </c>
      <c r="E3" s="57">
        <v>30</v>
      </c>
      <c r="F3" s="53">
        <v>816</v>
      </c>
      <c r="G3" s="75">
        <f>E3*F3</f>
        <v>24480</v>
      </c>
      <c r="H3" s="57" t="s">
        <v>68</v>
      </c>
      <c r="I3" s="58" t="s">
        <v>439</v>
      </c>
      <c r="J3" s="19"/>
      <c r="K3" s="19"/>
      <c r="L3" s="19"/>
      <c r="M3" s="19"/>
      <c r="N3" s="19"/>
      <c r="O3" s="19"/>
      <c r="P3" s="19"/>
      <c r="Q3" s="19"/>
      <c r="R3" s="19"/>
    </row>
    <row r="4" spans="1:18" s="141" customFormat="1" ht="15.95" customHeight="1" x14ac:dyDescent="0.15">
      <c r="A4" s="550" t="s">
        <v>142</v>
      </c>
      <c r="B4" s="545" t="s">
        <v>440</v>
      </c>
      <c r="C4" s="543" t="s">
        <v>441</v>
      </c>
      <c r="D4" s="544" t="s">
        <v>438</v>
      </c>
      <c r="E4" s="545">
        <v>30</v>
      </c>
      <c r="F4" s="546">
        <v>1714</v>
      </c>
      <c r="G4" s="546">
        <f>E4*F4</f>
        <v>51420</v>
      </c>
      <c r="H4" s="545" t="s">
        <v>68</v>
      </c>
      <c r="I4" s="547" t="s">
        <v>446</v>
      </c>
      <c r="J4" s="142"/>
      <c r="K4" s="142"/>
      <c r="L4" s="142"/>
      <c r="M4" s="142"/>
      <c r="N4" s="142"/>
      <c r="O4" s="142"/>
      <c r="P4" s="142"/>
      <c r="Q4" s="142"/>
      <c r="R4" s="142"/>
    </row>
    <row r="5" spans="1:18" s="141" customFormat="1" ht="15.95" customHeight="1" x14ac:dyDescent="0.15">
      <c r="A5" s="550" t="s">
        <v>142</v>
      </c>
      <c r="B5" s="545" t="s">
        <v>440</v>
      </c>
      <c r="C5" s="543" t="s">
        <v>444</v>
      </c>
      <c r="D5" s="544" t="s">
        <v>438</v>
      </c>
      <c r="E5" s="545">
        <v>30</v>
      </c>
      <c r="F5" s="546">
        <v>172</v>
      </c>
      <c r="G5" s="546">
        <f t="shared" ref="G5:G8" si="0">E5*F5</f>
        <v>5160</v>
      </c>
      <c r="H5" s="545" t="s">
        <v>68</v>
      </c>
      <c r="I5" s="547" t="s">
        <v>447</v>
      </c>
      <c r="J5" s="142"/>
      <c r="K5" s="142"/>
      <c r="L5" s="142"/>
      <c r="M5" s="142"/>
      <c r="N5" s="142"/>
      <c r="O5" s="142"/>
      <c r="P5" s="142"/>
      <c r="Q5" s="142"/>
      <c r="R5" s="142"/>
    </row>
    <row r="6" spans="1:18" s="141" customFormat="1" ht="15.95" customHeight="1" x14ac:dyDescent="0.15">
      <c r="A6" s="550" t="s">
        <v>142</v>
      </c>
      <c r="B6" s="545" t="s">
        <v>440</v>
      </c>
      <c r="C6" s="543" t="s">
        <v>445</v>
      </c>
      <c r="D6" s="544" t="s">
        <v>438</v>
      </c>
      <c r="E6" s="545">
        <v>30</v>
      </c>
      <c r="F6" s="546">
        <v>1822</v>
      </c>
      <c r="G6" s="546">
        <f t="shared" si="0"/>
        <v>54660</v>
      </c>
      <c r="H6" s="545" t="s">
        <v>68</v>
      </c>
      <c r="I6" s="547" t="s">
        <v>325</v>
      </c>
      <c r="J6" s="142"/>
      <c r="K6" s="142"/>
      <c r="L6" s="142"/>
      <c r="M6" s="142"/>
      <c r="N6" s="142"/>
      <c r="O6" s="142"/>
      <c r="P6" s="142"/>
      <c r="Q6" s="142"/>
      <c r="R6" s="142"/>
    </row>
    <row r="7" spans="1:18" s="141" customFormat="1" ht="15.95" customHeight="1" x14ac:dyDescent="0.15">
      <c r="A7" s="550" t="s">
        <v>142</v>
      </c>
      <c r="B7" s="545" t="s">
        <v>440</v>
      </c>
      <c r="C7" s="543" t="s">
        <v>443</v>
      </c>
      <c r="D7" s="544" t="s">
        <v>438</v>
      </c>
      <c r="E7" s="545">
        <v>30</v>
      </c>
      <c r="F7" s="546">
        <v>1944</v>
      </c>
      <c r="G7" s="546">
        <f t="shared" si="0"/>
        <v>58320</v>
      </c>
      <c r="H7" s="545" t="s">
        <v>68</v>
      </c>
      <c r="I7" s="547" t="s">
        <v>448</v>
      </c>
      <c r="J7" s="142"/>
      <c r="K7" s="142"/>
      <c r="L7" s="142"/>
      <c r="M7" s="142"/>
      <c r="N7" s="142"/>
      <c r="O7" s="142"/>
      <c r="P7" s="142"/>
      <c r="Q7" s="142"/>
      <c r="R7" s="142"/>
    </row>
    <row r="8" spans="1:18" s="6" customFormat="1" ht="15.95" customHeight="1" x14ac:dyDescent="0.25">
      <c r="A8" s="550" t="s">
        <v>142</v>
      </c>
      <c r="B8" s="545" t="s">
        <v>440</v>
      </c>
      <c r="C8" s="543" t="s">
        <v>442</v>
      </c>
      <c r="D8" s="544" t="s">
        <v>438</v>
      </c>
      <c r="E8" s="545">
        <v>30</v>
      </c>
      <c r="F8" s="546">
        <v>1944</v>
      </c>
      <c r="G8" s="546">
        <f t="shared" si="0"/>
        <v>58320</v>
      </c>
      <c r="H8" s="545" t="s">
        <v>68</v>
      </c>
      <c r="I8" s="547" t="s">
        <v>449</v>
      </c>
      <c r="J8" s="19"/>
      <c r="K8" s="19"/>
      <c r="L8" s="19"/>
      <c r="M8" s="19"/>
      <c r="N8" s="19"/>
      <c r="O8" s="19"/>
      <c r="P8" s="19"/>
      <c r="Q8" s="19"/>
      <c r="R8" s="19"/>
    </row>
    <row r="9" spans="1:18" s="141" customFormat="1" ht="15.95" customHeight="1" x14ac:dyDescent="0.15">
      <c r="A9" s="551">
        <v>10570050</v>
      </c>
      <c r="B9" s="535" t="s">
        <v>187</v>
      </c>
      <c r="C9" s="538" t="s">
        <v>450</v>
      </c>
      <c r="D9" s="539" t="s">
        <v>438</v>
      </c>
      <c r="E9" s="535">
        <v>30</v>
      </c>
      <c r="F9" s="536">
        <v>24</v>
      </c>
      <c r="G9" s="536">
        <f t="shared" ref="G9:G13" si="1">E9*F9</f>
        <v>720</v>
      </c>
      <c r="H9" s="535" t="s">
        <v>68</v>
      </c>
      <c r="I9" s="537" t="s">
        <v>324</v>
      </c>
      <c r="J9" s="142"/>
      <c r="K9" s="142"/>
      <c r="L9" s="142"/>
      <c r="M9" s="142"/>
      <c r="N9" s="142"/>
      <c r="O9" s="142"/>
      <c r="P9" s="142"/>
      <c r="Q9" s="142"/>
      <c r="R9" s="142"/>
    </row>
    <row r="10" spans="1:18" s="141" customFormat="1" ht="15.95" customHeight="1" x14ac:dyDescent="0.15">
      <c r="A10" s="143">
        <v>10570060</v>
      </c>
      <c r="B10" s="65" t="s">
        <v>694</v>
      </c>
      <c r="C10" s="66" t="s">
        <v>326</v>
      </c>
      <c r="D10" s="72" t="s">
        <v>322</v>
      </c>
      <c r="E10" s="65">
        <v>30</v>
      </c>
      <c r="F10" s="55">
        <v>1123</v>
      </c>
      <c r="G10" s="55">
        <f t="shared" si="1"/>
        <v>33690</v>
      </c>
      <c r="H10" s="65" t="s">
        <v>68</v>
      </c>
      <c r="I10" s="58" t="s">
        <v>458</v>
      </c>
      <c r="J10" s="142"/>
      <c r="K10" s="142"/>
      <c r="L10" s="142"/>
      <c r="M10" s="142"/>
      <c r="N10" s="142"/>
      <c r="O10" s="142"/>
      <c r="P10" s="142"/>
      <c r="Q10" s="142"/>
      <c r="R10" s="142"/>
    </row>
    <row r="11" spans="1:18" s="141" customFormat="1" ht="15.95" customHeight="1" x14ac:dyDescent="0.15">
      <c r="A11" s="143">
        <v>10570060</v>
      </c>
      <c r="B11" s="65" t="s">
        <v>694</v>
      </c>
      <c r="C11" s="66" t="s">
        <v>451</v>
      </c>
      <c r="D11" s="72" t="s">
        <v>452</v>
      </c>
      <c r="E11" s="65">
        <v>30</v>
      </c>
      <c r="F11" s="55">
        <v>1350</v>
      </c>
      <c r="G11" s="55">
        <f t="shared" si="1"/>
        <v>40500</v>
      </c>
      <c r="H11" s="65" t="s">
        <v>68</v>
      </c>
      <c r="I11" s="58" t="s">
        <v>459</v>
      </c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8" s="141" customFormat="1" ht="15.95" customHeight="1" x14ac:dyDescent="0.15">
      <c r="A12" s="143">
        <v>10570060</v>
      </c>
      <c r="B12" s="65" t="s">
        <v>694</v>
      </c>
      <c r="C12" s="66" t="s">
        <v>453</v>
      </c>
      <c r="D12" s="72" t="s">
        <v>438</v>
      </c>
      <c r="E12" s="65">
        <v>30</v>
      </c>
      <c r="F12" s="55">
        <v>1346</v>
      </c>
      <c r="G12" s="55">
        <f t="shared" si="1"/>
        <v>40380</v>
      </c>
      <c r="H12" s="65" t="s">
        <v>68</v>
      </c>
      <c r="I12" s="58" t="s">
        <v>328</v>
      </c>
      <c r="J12" s="142"/>
      <c r="K12" s="142"/>
      <c r="L12" s="142"/>
      <c r="M12" s="142"/>
      <c r="N12" s="142"/>
      <c r="O12" s="142"/>
      <c r="P12" s="142"/>
      <c r="Q12" s="142"/>
      <c r="R12" s="142"/>
    </row>
    <row r="13" spans="1:18" s="141" customFormat="1" ht="15.95" customHeight="1" x14ac:dyDescent="0.15">
      <c r="A13" s="143">
        <v>10570060</v>
      </c>
      <c r="B13" s="65" t="s">
        <v>694</v>
      </c>
      <c r="C13" s="66" t="s">
        <v>454</v>
      </c>
      <c r="D13" s="72" t="s">
        <v>438</v>
      </c>
      <c r="E13" s="65">
        <v>30</v>
      </c>
      <c r="F13" s="55">
        <v>1339</v>
      </c>
      <c r="G13" s="55">
        <f t="shared" si="1"/>
        <v>40170</v>
      </c>
      <c r="H13" s="65" t="s">
        <v>68</v>
      </c>
      <c r="I13" s="58" t="s">
        <v>460</v>
      </c>
      <c r="J13" s="142"/>
      <c r="K13" s="142"/>
      <c r="L13" s="142"/>
      <c r="M13" s="142"/>
      <c r="N13" s="142"/>
      <c r="O13" s="142"/>
      <c r="P13" s="142"/>
      <c r="Q13" s="142"/>
      <c r="R13" s="142"/>
    </row>
    <row r="14" spans="1:18" s="141" customFormat="1" ht="15.95" customHeight="1" x14ac:dyDescent="0.15">
      <c r="A14" s="143">
        <v>10570060</v>
      </c>
      <c r="B14" s="65" t="s">
        <v>694</v>
      </c>
      <c r="C14" s="66" t="s">
        <v>455</v>
      </c>
      <c r="D14" s="72" t="s">
        <v>438</v>
      </c>
      <c r="E14" s="65">
        <v>30</v>
      </c>
      <c r="F14" s="55">
        <v>1342</v>
      </c>
      <c r="G14" s="55">
        <f t="shared" ref="G14:G16" si="2">E14*F14</f>
        <v>40260</v>
      </c>
      <c r="H14" s="65" t="s">
        <v>68</v>
      </c>
      <c r="I14" s="58" t="s">
        <v>327</v>
      </c>
      <c r="J14" s="142"/>
      <c r="K14" s="142"/>
      <c r="L14" s="142"/>
      <c r="M14" s="142"/>
      <c r="N14" s="142"/>
      <c r="O14" s="142"/>
      <c r="P14" s="142"/>
      <c r="Q14" s="142"/>
      <c r="R14" s="142"/>
    </row>
    <row r="15" spans="1:18" s="141" customFormat="1" ht="15.95" customHeight="1" x14ac:dyDescent="0.15">
      <c r="A15" s="143">
        <v>10570060</v>
      </c>
      <c r="B15" s="65" t="s">
        <v>694</v>
      </c>
      <c r="C15" s="66" t="s">
        <v>456</v>
      </c>
      <c r="D15" s="72" t="s">
        <v>438</v>
      </c>
      <c r="E15" s="65">
        <v>30</v>
      </c>
      <c r="F15" s="55">
        <v>1345</v>
      </c>
      <c r="G15" s="55">
        <f t="shared" si="2"/>
        <v>40350</v>
      </c>
      <c r="H15" s="65" t="s">
        <v>68</v>
      </c>
      <c r="I15" s="58" t="s">
        <v>461</v>
      </c>
      <c r="J15" s="142"/>
      <c r="K15" s="142"/>
      <c r="L15" s="142"/>
      <c r="M15" s="142"/>
      <c r="N15" s="142"/>
      <c r="O15" s="142"/>
      <c r="P15" s="142"/>
      <c r="Q15" s="142"/>
      <c r="R15" s="142"/>
    </row>
    <row r="16" spans="1:18" s="141" customFormat="1" ht="15.95" customHeight="1" x14ac:dyDescent="0.15">
      <c r="A16" s="143">
        <v>10570060</v>
      </c>
      <c r="B16" s="65" t="s">
        <v>694</v>
      </c>
      <c r="C16" s="66" t="s">
        <v>457</v>
      </c>
      <c r="D16" s="72" t="s">
        <v>438</v>
      </c>
      <c r="E16" s="65">
        <v>30</v>
      </c>
      <c r="F16" s="55">
        <v>573</v>
      </c>
      <c r="G16" s="55">
        <f t="shared" si="2"/>
        <v>17190</v>
      </c>
      <c r="H16" s="65" t="s">
        <v>68</v>
      </c>
      <c r="I16" s="58" t="s">
        <v>695</v>
      </c>
      <c r="J16" s="142"/>
      <c r="K16" s="142"/>
      <c r="L16" s="142"/>
      <c r="M16" s="142"/>
      <c r="N16" s="142"/>
      <c r="O16" s="142"/>
      <c r="P16" s="142"/>
      <c r="Q16" s="142"/>
      <c r="R16" s="142"/>
    </row>
    <row r="17" spans="1:18" s="141" customFormat="1" ht="15.95" customHeight="1" x14ac:dyDescent="0.15">
      <c r="A17" s="285" t="s">
        <v>144</v>
      </c>
      <c r="B17" s="62" t="s">
        <v>145</v>
      </c>
      <c r="C17" s="63">
        <v>101694</v>
      </c>
      <c r="D17" s="103" t="s">
        <v>333</v>
      </c>
      <c r="E17" s="62">
        <v>25</v>
      </c>
      <c r="F17" s="53">
        <v>331</v>
      </c>
      <c r="G17" s="53">
        <f>E17*F17</f>
        <v>8275</v>
      </c>
      <c r="H17" s="62" t="s">
        <v>68</v>
      </c>
      <c r="I17" s="58" t="s">
        <v>323</v>
      </c>
      <c r="J17" s="142"/>
      <c r="K17" s="142"/>
      <c r="L17" s="142"/>
      <c r="M17" s="142"/>
      <c r="N17" s="142"/>
      <c r="O17" s="142"/>
      <c r="P17" s="142"/>
      <c r="Q17" s="142"/>
      <c r="R17" s="142"/>
    </row>
    <row r="18" spans="1:18" s="141" customFormat="1" ht="15.95" customHeight="1" x14ac:dyDescent="0.15">
      <c r="A18" s="285" t="s">
        <v>144</v>
      </c>
      <c r="B18" s="62" t="s">
        <v>145</v>
      </c>
      <c r="C18" s="63">
        <v>101694</v>
      </c>
      <c r="D18" s="103" t="s">
        <v>333</v>
      </c>
      <c r="E18" s="62">
        <v>25</v>
      </c>
      <c r="F18" s="53">
        <v>800</v>
      </c>
      <c r="G18" s="53">
        <f t="shared" ref="G18:G20" si="3">E18*F18</f>
        <v>20000</v>
      </c>
      <c r="H18" s="62" t="s">
        <v>68</v>
      </c>
      <c r="I18" s="58" t="s">
        <v>462</v>
      </c>
      <c r="J18" s="142"/>
      <c r="K18" s="142"/>
      <c r="L18" s="142"/>
      <c r="M18" s="142"/>
      <c r="N18" s="142"/>
      <c r="O18" s="142"/>
      <c r="P18" s="142"/>
      <c r="Q18" s="142"/>
      <c r="R18" s="142"/>
    </row>
    <row r="19" spans="1:18" s="141" customFormat="1" ht="15.95" customHeight="1" x14ac:dyDescent="0.15">
      <c r="A19" s="285" t="s">
        <v>144</v>
      </c>
      <c r="B19" s="62" t="s">
        <v>145</v>
      </c>
      <c r="C19" s="63">
        <v>101693</v>
      </c>
      <c r="D19" s="103" t="s">
        <v>333</v>
      </c>
      <c r="E19" s="62">
        <v>25</v>
      </c>
      <c r="F19" s="53">
        <v>800</v>
      </c>
      <c r="G19" s="53">
        <f t="shared" si="3"/>
        <v>20000</v>
      </c>
      <c r="H19" s="62" t="s">
        <v>68</v>
      </c>
      <c r="I19" s="58" t="s">
        <v>463</v>
      </c>
      <c r="J19" s="142"/>
      <c r="K19" s="142"/>
      <c r="L19" s="142"/>
      <c r="M19" s="142"/>
      <c r="N19" s="142"/>
      <c r="O19" s="142"/>
      <c r="P19" s="142"/>
      <c r="Q19" s="142"/>
      <c r="R19" s="142"/>
    </row>
    <row r="20" spans="1:18" s="6" customFormat="1" ht="15.95" customHeight="1" x14ac:dyDescent="0.25">
      <c r="A20" s="285" t="s">
        <v>144</v>
      </c>
      <c r="B20" s="62" t="s">
        <v>145</v>
      </c>
      <c r="C20" s="63">
        <v>101695</v>
      </c>
      <c r="D20" s="103" t="s">
        <v>333</v>
      </c>
      <c r="E20" s="62">
        <v>25</v>
      </c>
      <c r="F20" s="53">
        <v>800</v>
      </c>
      <c r="G20" s="53">
        <f t="shared" si="3"/>
        <v>20000</v>
      </c>
      <c r="H20" s="62" t="s">
        <v>68</v>
      </c>
      <c r="I20" s="58" t="s">
        <v>321</v>
      </c>
      <c r="J20" s="19"/>
      <c r="K20" s="19"/>
      <c r="L20" s="19"/>
      <c r="M20" s="19"/>
      <c r="N20" s="19"/>
      <c r="O20" s="19"/>
      <c r="P20" s="19"/>
      <c r="Q20" s="19"/>
      <c r="R20" s="19"/>
    </row>
    <row r="21" spans="1:18" ht="15.95" customHeight="1" x14ac:dyDescent="0.25">
      <c r="A21" s="552"/>
      <c r="B21" s="553"/>
      <c r="C21" s="553"/>
      <c r="D21" s="553"/>
      <c r="E21" s="553"/>
      <c r="F21" s="554"/>
      <c r="G21" s="554"/>
      <c r="H21" s="553"/>
      <c r="I21" s="555"/>
      <c r="J21" s="80"/>
      <c r="K21" s="80"/>
      <c r="L21" s="80"/>
      <c r="M21" s="80"/>
      <c r="N21" s="80"/>
      <c r="O21" s="80"/>
      <c r="P21" s="80"/>
      <c r="Q21" s="80"/>
      <c r="R21" s="80"/>
    </row>
    <row r="22" spans="1:18" s="6" customFormat="1" ht="15.95" customHeight="1" x14ac:dyDescent="0.25">
      <c r="A22" s="556" t="s">
        <v>76</v>
      </c>
      <c r="B22" s="557"/>
      <c r="C22" s="558"/>
      <c r="D22" s="558"/>
      <c r="E22" s="557"/>
      <c r="F22" s="559"/>
      <c r="G22" s="559"/>
      <c r="H22" s="557"/>
      <c r="I22" s="557"/>
      <c r="J22" s="19"/>
      <c r="K22" s="19"/>
      <c r="L22" s="19"/>
      <c r="M22" s="19"/>
      <c r="N22" s="19"/>
      <c r="O22" s="19"/>
      <c r="P22" s="19"/>
      <c r="Q22" s="19"/>
      <c r="R22" s="19"/>
    </row>
    <row r="23" spans="1:18" s="6" customFormat="1" ht="15.95" customHeight="1" x14ac:dyDescent="0.25">
      <c r="A23" s="563" t="s">
        <v>210</v>
      </c>
      <c r="B23" s="62" t="s">
        <v>120</v>
      </c>
      <c r="C23" s="63" t="s">
        <v>567</v>
      </c>
      <c r="D23" s="103">
        <v>46692</v>
      </c>
      <c r="E23" s="62">
        <v>30</v>
      </c>
      <c r="F23" s="53">
        <v>1725</v>
      </c>
      <c r="G23" s="53">
        <f>E23*F23</f>
        <v>51750</v>
      </c>
      <c r="H23" s="62" t="s">
        <v>74</v>
      </c>
      <c r="I23" s="82" t="s">
        <v>25</v>
      </c>
      <c r="J23" s="19"/>
      <c r="K23" s="19"/>
      <c r="L23" s="19"/>
      <c r="M23" s="19"/>
      <c r="N23" s="19"/>
      <c r="O23" s="19"/>
      <c r="P23" s="19"/>
      <c r="Q23" s="19"/>
      <c r="R23" s="19"/>
    </row>
    <row r="24" spans="1:18" s="6" customFormat="1" ht="15.95" customHeight="1" x14ac:dyDescent="0.25">
      <c r="A24" s="563" t="s">
        <v>210</v>
      </c>
      <c r="B24" s="62" t="s">
        <v>120</v>
      </c>
      <c r="C24" s="63" t="s">
        <v>372</v>
      </c>
      <c r="D24" s="103">
        <v>46017</v>
      </c>
      <c r="E24" s="62">
        <v>30</v>
      </c>
      <c r="F24" s="53">
        <v>3019</v>
      </c>
      <c r="G24" s="53">
        <f>E24*F24</f>
        <v>90570</v>
      </c>
      <c r="H24" s="62" t="s">
        <v>74</v>
      </c>
      <c r="I24" s="82" t="s">
        <v>25</v>
      </c>
      <c r="J24" s="19"/>
      <c r="K24" s="19"/>
      <c r="L24" s="19"/>
      <c r="M24" s="19"/>
      <c r="N24" s="19"/>
      <c r="O24" s="19"/>
      <c r="P24" s="19"/>
      <c r="Q24" s="19"/>
      <c r="R24" s="19"/>
    </row>
    <row r="25" spans="1:18" s="6" customFormat="1" ht="15.95" customHeight="1" x14ac:dyDescent="0.25">
      <c r="A25" s="564" t="s">
        <v>142</v>
      </c>
      <c r="B25" s="545" t="s">
        <v>70</v>
      </c>
      <c r="C25" s="548" t="s">
        <v>568</v>
      </c>
      <c r="D25" s="549">
        <v>46692</v>
      </c>
      <c r="E25" s="545">
        <v>30</v>
      </c>
      <c r="F25" s="546">
        <v>875</v>
      </c>
      <c r="G25" s="546">
        <f t="shared" ref="G25:G33" si="4">E25*F25</f>
        <v>26250</v>
      </c>
      <c r="H25" s="545" t="s">
        <v>74</v>
      </c>
      <c r="I25" s="547" t="s">
        <v>25</v>
      </c>
      <c r="J25" s="19"/>
      <c r="K25" s="19"/>
      <c r="L25" s="19"/>
      <c r="M25" s="19"/>
      <c r="N25" s="19"/>
      <c r="O25" s="19"/>
      <c r="P25" s="19"/>
      <c r="Q25" s="19"/>
      <c r="R25" s="19"/>
    </row>
    <row r="26" spans="1:18" ht="15.95" customHeight="1" x14ac:dyDescent="0.25">
      <c r="A26" s="564" t="s">
        <v>142</v>
      </c>
      <c r="B26" s="545" t="s">
        <v>70</v>
      </c>
      <c r="C26" s="548" t="s">
        <v>375</v>
      </c>
      <c r="D26" s="549">
        <v>46388</v>
      </c>
      <c r="E26" s="545">
        <v>30</v>
      </c>
      <c r="F26" s="546">
        <v>451</v>
      </c>
      <c r="G26" s="546">
        <f t="shared" ref="G26:G31" si="5">E26*F26</f>
        <v>13530</v>
      </c>
      <c r="H26" s="545" t="s">
        <v>74</v>
      </c>
      <c r="I26" s="547" t="s">
        <v>25</v>
      </c>
      <c r="J26" s="80"/>
      <c r="K26" s="80"/>
      <c r="L26" s="80"/>
      <c r="M26" s="80"/>
      <c r="N26" s="80"/>
      <c r="O26" s="80"/>
      <c r="P26" s="80"/>
      <c r="Q26" s="80"/>
      <c r="R26" s="80"/>
    </row>
    <row r="27" spans="1:18" s="6" customFormat="1" ht="15.95" customHeight="1" x14ac:dyDescent="0.25">
      <c r="A27" s="570">
        <v>10570050</v>
      </c>
      <c r="B27" s="535" t="s">
        <v>71</v>
      </c>
      <c r="C27" s="538" t="s">
        <v>569</v>
      </c>
      <c r="D27" s="539">
        <v>45988</v>
      </c>
      <c r="E27" s="535">
        <v>30</v>
      </c>
      <c r="F27" s="536">
        <v>418</v>
      </c>
      <c r="G27" s="536">
        <f t="shared" si="5"/>
        <v>12540</v>
      </c>
      <c r="H27" s="569" t="s">
        <v>74</v>
      </c>
      <c r="I27" s="537" t="s">
        <v>25</v>
      </c>
      <c r="J27" s="19"/>
      <c r="K27" s="19"/>
      <c r="L27" s="19"/>
      <c r="M27" s="19"/>
      <c r="N27" s="19"/>
      <c r="O27" s="19"/>
      <c r="P27" s="19"/>
      <c r="Q27" s="19"/>
      <c r="R27" s="19"/>
    </row>
    <row r="28" spans="1:18" s="6" customFormat="1" ht="15.95" customHeight="1" x14ac:dyDescent="0.25">
      <c r="A28" s="570">
        <v>10570050</v>
      </c>
      <c r="B28" s="535" t="s">
        <v>71</v>
      </c>
      <c r="C28" s="538" t="s">
        <v>570</v>
      </c>
      <c r="D28" s="539">
        <v>46018</v>
      </c>
      <c r="E28" s="535">
        <v>30</v>
      </c>
      <c r="F28" s="536">
        <v>576</v>
      </c>
      <c r="G28" s="536">
        <f t="shared" si="5"/>
        <v>17280</v>
      </c>
      <c r="H28" s="569" t="s">
        <v>74</v>
      </c>
      <c r="I28" s="537" t="s">
        <v>25</v>
      </c>
      <c r="J28" s="19"/>
      <c r="K28" s="19"/>
      <c r="L28" s="19"/>
      <c r="M28" s="19"/>
      <c r="N28" s="19"/>
      <c r="O28" s="19"/>
      <c r="P28" s="19"/>
      <c r="Q28" s="19"/>
      <c r="R28" s="19"/>
    </row>
    <row r="29" spans="1:18" s="6" customFormat="1" ht="15.95" customHeight="1" x14ac:dyDescent="0.25">
      <c r="A29" s="570">
        <v>10570050</v>
      </c>
      <c r="B29" s="535" t="s">
        <v>71</v>
      </c>
      <c r="C29" s="538" t="s">
        <v>380</v>
      </c>
      <c r="D29" s="539">
        <v>46017</v>
      </c>
      <c r="E29" s="535">
        <v>30</v>
      </c>
      <c r="F29" s="536">
        <v>384</v>
      </c>
      <c r="G29" s="536">
        <f t="shared" si="5"/>
        <v>11520</v>
      </c>
      <c r="H29" s="569" t="s">
        <v>74</v>
      </c>
      <c r="I29" s="537" t="s">
        <v>25</v>
      </c>
      <c r="J29" s="19"/>
      <c r="K29" s="19"/>
      <c r="L29" s="19"/>
      <c r="M29" s="19"/>
      <c r="N29" s="19"/>
      <c r="O29" s="19"/>
      <c r="P29" s="19"/>
      <c r="Q29" s="19"/>
      <c r="R29" s="19"/>
    </row>
    <row r="30" spans="1:18" s="6" customFormat="1" ht="15.95" customHeight="1" x14ac:dyDescent="0.25">
      <c r="A30" s="570">
        <v>10570050</v>
      </c>
      <c r="B30" s="535" t="s">
        <v>71</v>
      </c>
      <c r="C30" s="538" t="s">
        <v>571</v>
      </c>
      <c r="D30" s="539">
        <v>45988</v>
      </c>
      <c r="E30" s="535">
        <v>30</v>
      </c>
      <c r="F30" s="536">
        <v>36</v>
      </c>
      <c r="G30" s="536">
        <f t="shared" si="5"/>
        <v>1080</v>
      </c>
      <c r="H30" s="569" t="s">
        <v>74</v>
      </c>
      <c r="I30" s="537" t="s">
        <v>25</v>
      </c>
      <c r="J30" s="19"/>
      <c r="K30" s="19"/>
      <c r="L30" s="19"/>
      <c r="M30" s="19"/>
      <c r="N30" s="19"/>
      <c r="O30" s="19"/>
      <c r="P30" s="19"/>
      <c r="Q30" s="19"/>
      <c r="R30" s="19"/>
    </row>
    <row r="31" spans="1:18" ht="15.95" customHeight="1" x14ac:dyDescent="0.25">
      <c r="A31" s="925">
        <v>10570060</v>
      </c>
      <c r="B31" s="62" t="s">
        <v>168</v>
      </c>
      <c r="C31" s="63" t="s">
        <v>572</v>
      </c>
      <c r="D31" s="103">
        <v>46692</v>
      </c>
      <c r="E31" s="62">
        <v>30</v>
      </c>
      <c r="F31" s="53">
        <v>58</v>
      </c>
      <c r="G31" s="53">
        <f t="shared" si="5"/>
        <v>1740</v>
      </c>
      <c r="H31" s="62" t="s">
        <v>74</v>
      </c>
      <c r="I31" s="82" t="s">
        <v>25</v>
      </c>
      <c r="J31" s="80"/>
      <c r="K31" s="80"/>
      <c r="L31" s="80"/>
      <c r="M31" s="80"/>
      <c r="N31" s="80"/>
      <c r="O31" s="80"/>
      <c r="P31" s="80"/>
      <c r="Q31" s="80"/>
      <c r="R31" s="80"/>
    </row>
    <row r="32" spans="1:18" ht="15.95" customHeight="1" x14ac:dyDescent="0.25">
      <c r="A32" s="565" t="s">
        <v>140</v>
      </c>
      <c r="B32" s="535" t="s">
        <v>141</v>
      </c>
      <c r="C32" s="538" t="s">
        <v>573</v>
      </c>
      <c r="D32" s="539">
        <v>46419</v>
      </c>
      <c r="E32" s="560">
        <v>100</v>
      </c>
      <c r="F32" s="561">
        <v>32</v>
      </c>
      <c r="G32" s="562">
        <f t="shared" si="4"/>
        <v>3200</v>
      </c>
      <c r="H32" s="535" t="s">
        <v>74</v>
      </c>
      <c r="I32" s="537" t="s">
        <v>25</v>
      </c>
      <c r="J32" s="80"/>
      <c r="K32" s="80"/>
      <c r="L32" s="80"/>
      <c r="M32" s="80"/>
      <c r="N32" s="80"/>
      <c r="O32" s="80"/>
      <c r="P32" s="80"/>
      <c r="Q32" s="80"/>
      <c r="R32" s="80"/>
    </row>
    <row r="33" spans="1:18" ht="15.95" customHeight="1" x14ac:dyDescent="0.25">
      <c r="A33" s="565" t="s">
        <v>140</v>
      </c>
      <c r="B33" s="535" t="s">
        <v>141</v>
      </c>
      <c r="C33" s="538" t="s">
        <v>378</v>
      </c>
      <c r="D33" s="539">
        <v>46388</v>
      </c>
      <c r="E33" s="560">
        <v>100</v>
      </c>
      <c r="F33" s="561">
        <v>1580</v>
      </c>
      <c r="G33" s="562">
        <f t="shared" si="4"/>
        <v>158000</v>
      </c>
      <c r="H33" s="535" t="s">
        <v>74</v>
      </c>
      <c r="I33" s="537" t="s">
        <v>25</v>
      </c>
      <c r="J33" s="80"/>
      <c r="K33" s="80"/>
      <c r="L33" s="80"/>
      <c r="M33" s="80"/>
      <c r="N33" s="80"/>
      <c r="O33" s="80"/>
      <c r="P33" s="80"/>
      <c r="Q33" s="80"/>
      <c r="R33" s="80"/>
    </row>
    <row r="34" spans="1:18" ht="15.95" customHeight="1" x14ac:dyDescent="0.25">
      <c r="A34" s="565" t="s">
        <v>140</v>
      </c>
      <c r="B34" s="535" t="s">
        <v>141</v>
      </c>
      <c r="C34" s="538" t="s">
        <v>379</v>
      </c>
      <c r="D34" s="539">
        <v>46419</v>
      </c>
      <c r="E34" s="560">
        <v>100</v>
      </c>
      <c r="F34" s="561">
        <v>8998</v>
      </c>
      <c r="G34" s="562">
        <f>E34*F34</f>
        <v>899800</v>
      </c>
      <c r="H34" s="535" t="s">
        <v>74</v>
      </c>
      <c r="I34" s="537" t="s">
        <v>25</v>
      </c>
      <c r="J34" s="80"/>
      <c r="K34" s="80"/>
      <c r="L34" s="80"/>
      <c r="M34" s="80"/>
      <c r="N34" s="80"/>
      <c r="O34" s="80"/>
      <c r="P34" s="80"/>
      <c r="Q34" s="80"/>
      <c r="R34" s="80"/>
    </row>
    <row r="35" spans="1:18" ht="15.95" customHeight="1" x14ac:dyDescent="0.25">
      <c r="A35" s="566">
        <v>40240100</v>
      </c>
      <c r="B35" s="57" t="s">
        <v>29</v>
      </c>
      <c r="C35" s="63" t="s">
        <v>574</v>
      </c>
      <c r="D35" s="102">
        <v>46023</v>
      </c>
      <c r="E35" s="57">
        <v>25</v>
      </c>
      <c r="F35" s="75">
        <v>2400</v>
      </c>
      <c r="G35" s="75">
        <f t="shared" ref="G35:G42" si="6">E35*F35</f>
        <v>60000</v>
      </c>
      <c r="H35" s="57" t="s">
        <v>74</v>
      </c>
      <c r="I35" s="58" t="s">
        <v>25</v>
      </c>
      <c r="J35" s="80"/>
      <c r="K35" s="80"/>
      <c r="L35" s="80"/>
      <c r="M35" s="80"/>
      <c r="N35" s="80"/>
      <c r="O35" s="80"/>
      <c r="P35" s="80"/>
      <c r="Q35" s="80"/>
      <c r="R35" s="80"/>
    </row>
    <row r="36" spans="1:18" ht="15.95" customHeight="1" x14ac:dyDescent="0.25">
      <c r="A36" s="566">
        <v>40240100</v>
      </c>
      <c r="B36" s="57" t="s">
        <v>29</v>
      </c>
      <c r="C36" s="63" t="s">
        <v>492</v>
      </c>
      <c r="D36" s="102">
        <v>46266</v>
      </c>
      <c r="E36" s="57">
        <v>25</v>
      </c>
      <c r="F36" s="75">
        <v>2750</v>
      </c>
      <c r="G36" s="75">
        <f t="shared" si="6"/>
        <v>68750</v>
      </c>
      <c r="H36" s="57" t="s">
        <v>74</v>
      </c>
      <c r="I36" s="58" t="s">
        <v>25</v>
      </c>
    </row>
    <row r="37" spans="1:18" ht="15.95" customHeight="1" x14ac:dyDescent="0.25">
      <c r="A37" s="566">
        <v>40240100</v>
      </c>
      <c r="B37" s="57" t="s">
        <v>29</v>
      </c>
      <c r="C37" s="63" t="s">
        <v>576</v>
      </c>
      <c r="D37" s="102">
        <v>46388</v>
      </c>
      <c r="E37" s="57">
        <v>25</v>
      </c>
      <c r="F37" s="75">
        <v>8288</v>
      </c>
      <c r="G37" s="75">
        <f t="shared" ref="G37" si="7">E37*F37</f>
        <v>207200</v>
      </c>
      <c r="H37" s="57" t="s">
        <v>74</v>
      </c>
      <c r="I37" s="58" t="s">
        <v>25</v>
      </c>
    </row>
    <row r="38" spans="1:18" ht="15.95" customHeight="1" x14ac:dyDescent="0.25">
      <c r="A38" s="566">
        <v>40240100</v>
      </c>
      <c r="B38" s="57" t="s">
        <v>29</v>
      </c>
      <c r="C38" s="63" t="s">
        <v>575</v>
      </c>
      <c r="D38" s="102">
        <v>46478</v>
      </c>
      <c r="E38" s="57">
        <v>25</v>
      </c>
      <c r="F38" s="75">
        <v>9600</v>
      </c>
      <c r="G38" s="75">
        <f t="shared" si="6"/>
        <v>240000</v>
      </c>
      <c r="H38" s="57" t="s">
        <v>74</v>
      </c>
      <c r="I38" s="58" t="s">
        <v>25</v>
      </c>
    </row>
    <row r="39" spans="1:18" ht="15.95" customHeight="1" x14ac:dyDescent="0.25">
      <c r="A39" s="566">
        <v>40240100</v>
      </c>
      <c r="B39" s="57" t="s">
        <v>29</v>
      </c>
      <c r="C39" s="63" t="s">
        <v>577</v>
      </c>
      <c r="D39" s="102" t="s">
        <v>329</v>
      </c>
      <c r="E39" s="57">
        <v>25</v>
      </c>
      <c r="F39" s="75">
        <v>3100</v>
      </c>
      <c r="G39" s="75">
        <f t="shared" si="6"/>
        <v>77500</v>
      </c>
      <c r="H39" s="57" t="s">
        <v>74</v>
      </c>
      <c r="I39" s="58" t="s">
        <v>25</v>
      </c>
    </row>
    <row r="40" spans="1:18" ht="15.95" customHeight="1" x14ac:dyDescent="0.25">
      <c r="C40"/>
      <c r="D40"/>
      <c r="F40"/>
      <c r="G40"/>
    </row>
    <row r="41" spans="1:18" ht="15.95" customHeight="1" x14ac:dyDescent="0.25">
      <c r="A41" s="50" t="s">
        <v>77</v>
      </c>
      <c r="B41" s="51"/>
      <c r="C41" s="52"/>
      <c r="D41" s="52"/>
      <c r="E41" s="51"/>
      <c r="F41" s="79"/>
      <c r="G41" s="75">
        <f t="shared" si="6"/>
        <v>0</v>
      </c>
      <c r="H41" s="51"/>
      <c r="I41" s="56"/>
    </row>
    <row r="42" spans="1:18" ht="15.95" customHeight="1" x14ac:dyDescent="0.25">
      <c r="A42" s="563" t="s">
        <v>210</v>
      </c>
      <c r="B42" s="62" t="s">
        <v>120</v>
      </c>
      <c r="C42" s="63" t="s">
        <v>211</v>
      </c>
      <c r="D42" s="103" t="s">
        <v>212</v>
      </c>
      <c r="E42" s="62">
        <v>30</v>
      </c>
      <c r="F42" s="53">
        <v>21</v>
      </c>
      <c r="G42" s="53">
        <f t="shared" si="6"/>
        <v>630</v>
      </c>
      <c r="H42" s="62" t="s">
        <v>74</v>
      </c>
      <c r="I42" s="82" t="s">
        <v>26</v>
      </c>
    </row>
    <row r="43" spans="1:18" ht="15.95" customHeight="1" x14ac:dyDescent="0.25">
      <c r="A43" s="563" t="s">
        <v>210</v>
      </c>
      <c r="B43" s="62" t="s">
        <v>120</v>
      </c>
      <c r="C43" s="63" t="s">
        <v>372</v>
      </c>
      <c r="D43" s="103" t="s">
        <v>373</v>
      </c>
      <c r="E43" s="62">
        <v>30</v>
      </c>
      <c r="F43" s="53">
        <f>739+68</f>
        <v>807</v>
      </c>
      <c r="G43" s="53">
        <f>E43*F43</f>
        <v>24210</v>
      </c>
      <c r="H43" s="62" t="s">
        <v>74</v>
      </c>
      <c r="I43" s="82" t="s">
        <v>26</v>
      </c>
      <c r="K43" s="80"/>
      <c r="L43" s="80"/>
      <c r="M43" s="80"/>
      <c r="N43" s="80"/>
      <c r="O43" s="80"/>
      <c r="P43" s="80"/>
      <c r="Q43" s="80"/>
      <c r="R43" s="80"/>
    </row>
    <row r="44" spans="1:18" ht="15.95" customHeight="1" x14ac:dyDescent="0.25">
      <c r="A44" s="563" t="s">
        <v>210</v>
      </c>
      <c r="B44" s="62" t="s">
        <v>120</v>
      </c>
      <c r="C44" s="63" t="s">
        <v>483</v>
      </c>
      <c r="D44" s="103" t="s">
        <v>357</v>
      </c>
      <c r="E44" s="62">
        <v>30</v>
      </c>
      <c r="F44" s="53">
        <v>140</v>
      </c>
      <c r="G44" s="53">
        <f>E44*F44</f>
        <v>4200</v>
      </c>
      <c r="H44" s="62" t="s">
        <v>74</v>
      </c>
      <c r="I44" s="82" t="s">
        <v>26</v>
      </c>
      <c r="K44" s="80"/>
      <c r="L44" s="80"/>
      <c r="M44" s="80"/>
      <c r="N44" s="80"/>
      <c r="O44" s="80"/>
      <c r="P44" s="80"/>
      <c r="Q44" s="80"/>
      <c r="R44" s="80"/>
    </row>
    <row r="45" spans="1:18" ht="15.95" customHeight="1" x14ac:dyDescent="0.25">
      <c r="A45" s="563" t="s">
        <v>210</v>
      </c>
      <c r="B45" s="62" t="s">
        <v>120</v>
      </c>
      <c r="C45" s="63" t="s">
        <v>484</v>
      </c>
      <c r="D45" s="103" t="s">
        <v>212</v>
      </c>
      <c r="E45" s="62">
        <v>30</v>
      </c>
      <c r="F45" s="53">
        <v>76</v>
      </c>
      <c r="G45" s="53">
        <f>E45*F45</f>
        <v>2280</v>
      </c>
      <c r="H45" s="62" t="s">
        <v>74</v>
      </c>
      <c r="I45" s="82" t="s">
        <v>26</v>
      </c>
      <c r="K45" s="80"/>
      <c r="L45" s="80"/>
      <c r="M45" s="80"/>
      <c r="N45" s="80"/>
      <c r="O45" s="80"/>
      <c r="P45" s="80"/>
      <c r="Q45" s="80"/>
      <c r="R45" s="80"/>
    </row>
    <row r="46" spans="1:18" s="6" customFormat="1" ht="15.95" customHeight="1" x14ac:dyDescent="0.25">
      <c r="A46" s="567">
        <v>10570040</v>
      </c>
      <c r="B46" s="65" t="s">
        <v>108</v>
      </c>
      <c r="C46" s="66" t="s">
        <v>375</v>
      </c>
      <c r="D46" s="72" t="s">
        <v>376</v>
      </c>
      <c r="E46" s="67">
        <v>30</v>
      </c>
      <c r="F46" s="78">
        <v>491</v>
      </c>
      <c r="G46" s="55">
        <f>E46*F46</f>
        <v>14730</v>
      </c>
      <c r="H46" s="81" t="s">
        <v>74</v>
      </c>
      <c r="I46" s="81" t="s">
        <v>26</v>
      </c>
      <c r="J46" s="19"/>
      <c r="K46" s="19"/>
      <c r="L46" s="19"/>
      <c r="M46" s="19"/>
      <c r="N46" s="19"/>
      <c r="O46" s="19"/>
      <c r="P46" s="19"/>
      <c r="Q46" s="19"/>
      <c r="R46" s="19"/>
    </row>
    <row r="47" spans="1:18" s="6" customFormat="1" ht="15.95" customHeight="1" x14ac:dyDescent="0.25">
      <c r="A47" s="567">
        <v>10570040</v>
      </c>
      <c r="B47" s="65" t="s">
        <v>108</v>
      </c>
      <c r="C47" s="66" t="s">
        <v>374</v>
      </c>
      <c r="D47" s="72" t="s">
        <v>357</v>
      </c>
      <c r="E47" s="67">
        <v>30</v>
      </c>
      <c r="F47" s="78">
        <f>62+21</f>
        <v>83</v>
      </c>
      <c r="G47" s="55">
        <f t="shared" ref="G47:G48" si="8">E47*F47</f>
        <v>2490</v>
      </c>
      <c r="H47" s="81" t="s">
        <v>74</v>
      </c>
      <c r="I47" s="81" t="s">
        <v>26</v>
      </c>
      <c r="J47" s="19"/>
      <c r="K47" s="19"/>
      <c r="L47" s="19"/>
      <c r="M47" s="19"/>
      <c r="N47" s="19"/>
      <c r="O47" s="19"/>
      <c r="P47" s="19"/>
      <c r="Q47" s="19"/>
      <c r="R47" s="19"/>
    </row>
    <row r="48" spans="1:18" s="6" customFormat="1" ht="15.95" customHeight="1" x14ac:dyDescent="0.25">
      <c r="A48" s="567">
        <v>10570040</v>
      </c>
      <c r="B48" s="65" t="s">
        <v>108</v>
      </c>
      <c r="C48" s="66" t="s">
        <v>568</v>
      </c>
      <c r="D48" s="72" t="s">
        <v>578</v>
      </c>
      <c r="E48" s="67">
        <v>30</v>
      </c>
      <c r="F48" s="78">
        <v>348</v>
      </c>
      <c r="G48" s="55">
        <f t="shared" si="8"/>
        <v>10440</v>
      </c>
      <c r="H48" s="81" t="s">
        <v>74</v>
      </c>
      <c r="I48" s="81" t="s">
        <v>26</v>
      </c>
      <c r="J48" s="19"/>
      <c r="K48" s="19"/>
      <c r="L48" s="19"/>
      <c r="M48" s="19"/>
      <c r="N48" s="19"/>
      <c r="O48" s="19"/>
      <c r="P48" s="19"/>
      <c r="Q48" s="19"/>
      <c r="R48" s="19"/>
    </row>
    <row r="49" spans="1:18" s="6" customFormat="1" ht="15.95" customHeight="1" x14ac:dyDescent="0.25">
      <c r="A49" s="570">
        <v>10570050</v>
      </c>
      <c r="B49" s="535" t="s">
        <v>71</v>
      </c>
      <c r="C49" s="538" t="s">
        <v>215</v>
      </c>
      <c r="D49" s="539" t="s">
        <v>216</v>
      </c>
      <c r="E49" s="535">
        <v>30</v>
      </c>
      <c r="F49" s="536">
        <v>30</v>
      </c>
      <c r="G49" s="536">
        <f t="shared" ref="G49:G68" si="9">E49*F49</f>
        <v>900</v>
      </c>
      <c r="H49" s="569" t="s">
        <v>74</v>
      </c>
      <c r="I49" s="537" t="s">
        <v>26</v>
      </c>
      <c r="J49" s="19"/>
      <c r="K49" s="19"/>
      <c r="L49" s="19"/>
      <c r="M49" s="19"/>
      <c r="N49" s="19"/>
      <c r="O49" s="19"/>
      <c r="P49" s="19"/>
      <c r="Q49" s="19"/>
      <c r="R49" s="19"/>
    </row>
    <row r="50" spans="1:18" ht="15.95" customHeight="1" x14ac:dyDescent="0.25">
      <c r="A50" s="570">
        <v>10570050</v>
      </c>
      <c r="B50" s="535" t="s">
        <v>71</v>
      </c>
      <c r="C50" s="538" t="s">
        <v>214</v>
      </c>
      <c r="D50" s="539" t="s">
        <v>213</v>
      </c>
      <c r="E50" s="535">
        <v>30</v>
      </c>
      <c r="F50" s="536">
        <v>1</v>
      </c>
      <c r="G50" s="536">
        <f t="shared" si="9"/>
        <v>30</v>
      </c>
      <c r="H50" s="569" t="s">
        <v>74</v>
      </c>
      <c r="I50" s="537" t="s">
        <v>26</v>
      </c>
      <c r="J50" s="80"/>
      <c r="K50" s="80"/>
      <c r="L50" s="80"/>
      <c r="M50" s="80"/>
      <c r="N50" s="80"/>
      <c r="O50" s="80"/>
      <c r="P50" s="80"/>
      <c r="Q50" s="80"/>
      <c r="R50" s="80"/>
    </row>
    <row r="51" spans="1:18" s="6" customFormat="1" ht="15.95" customHeight="1" x14ac:dyDescent="0.25">
      <c r="A51" s="570">
        <v>10570050</v>
      </c>
      <c r="B51" s="535" t="s">
        <v>71</v>
      </c>
      <c r="C51" s="538" t="s">
        <v>331</v>
      </c>
      <c r="D51" s="539" t="s">
        <v>330</v>
      </c>
      <c r="E51" s="535">
        <v>30</v>
      </c>
      <c r="F51" s="536">
        <v>403</v>
      </c>
      <c r="G51" s="536">
        <f t="shared" si="9"/>
        <v>12090</v>
      </c>
      <c r="H51" s="569" t="s">
        <v>74</v>
      </c>
      <c r="I51" s="537" t="s">
        <v>26</v>
      </c>
      <c r="J51" s="19"/>
      <c r="K51" s="19"/>
      <c r="L51" s="19"/>
      <c r="M51" s="19"/>
      <c r="N51" s="19"/>
      <c r="O51" s="19"/>
      <c r="P51" s="19"/>
      <c r="Q51" s="19"/>
      <c r="R51" s="19"/>
    </row>
    <row r="52" spans="1:18" s="6" customFormat="1" ht="15.95" customHeight="1" x14ac:dyDescent="0.25">
      <c r="A52" s="570">
        <v>10570050</v>
      </c>
      <c r="B52" s="535" t="s">
        <v>71</v>
      </c>
      <c r="C52" s="538" t="s">
        <v>332</v>
      </c>
      <c r="D52" s="539" t="s">
        <v>333</v>
      </c>
      <c r="E52" s="535">
        <v>30</v>
      </c>
      <c r="F52" s="536">
        <v>13</v>
      </c>
      <c r="G52" s="536">
        <f t="shared" si="9"/>
        <v>390</v>
      </c>
      <c r="H52" s="569" t="s">
        <v>74</v>
      </c>
      <c r="I52" s="537" t="s">
        <v>26</v>
      </c>
      <c r="J52" s="19"/>
      <c r="K52" s="19"/>
      <c r="L52" s="19"/>
      <c r="M52" s="19"/>
      <c r="N52" s="19"/>
      <c r="O52" s="19"/>
      <c r="P52" s="19"/>
      <c r="Q52" s="19"/>
      <c r="R52" s="19"/>
    </row>
    <row r="53" spans="1:18" s="6" customFormat="1" ht="15.95" customHeight="1" x14ac:dyDescent="0.25">
      <c r="A53" s="570">
        <v>10570050</v>
      </c>
      <c r="B53" s="535" t="s">
        <v>71</v>
      </c>
      <c r="C53" s="538" t="s">
        <v>331</v>
      </c>
      <c r="D53" s="539" t="s">
        <v>330</v>
      </c>
      <c r="E53" s="535">
        <v>30</v>
      </c>
      <c r="F53" s="536">
        <v>137</v>
      </c>
      <c r="G53" s="536">
        <f t="shared" ref="G53:G57" si="10">E53*F53</f>
        <v>4110</v>
      </c>
      <c r="H53" s="569" t="s">
        <v>74</v>
      </c>
      <c r="I53" s="537" t="s">
        <v>26</v>
      </c>
      <c r="J53" s="19"/>
      <c r="K53" s="19"/>
      <c r="L53" s="19"/>
      <c r="M53" s="19"/>
      <c r="N53" s="19"/>
      <c r="O53" s="19"/>
      <c r="P53" s="19"/>
      <c r="Q53" s="19"/>
      <c r="R53" s="19"/>
    </row>
    <row r="54" spans="1:18" s="6" customFormat="1" ht="15.95" customHeight="1" x14ac:dyDescent="0.25">
      <c r="A54" s="570">
        <v>10570050</v>
      </c>
      <c r="B54" s="535" t="s">
        <v>71</v>
      </c>
      <c r="C54" s="538" t="s">
        <v>380</v>
      </c>
      <c r="D54" s="539" t="s">
        <v>373</v>
      </c>
      <c r="E54" s="535">
        <v>30</v>
      </c>
      <c r="F54" s="536">
        <v>500</v>
      </c>
      <c r="G54" s="536">
        <f t="shared" si="10"/>
        <v>15000</v>
      </c>
      <c r="H54" s="569" t="s">
        <v>74</v>
      </c>
      <c r="I54" s="537" t="s">
        <v>26</v>
      </c>
      <c r="J54" s="19"/>
      <c r="K54" s="19"/>
      <c r="L54" s="19"/>
      <c r="M54" s="19"/>
      <c r="N54" s="19"/>
      <c r="O54" s="19"/>
      <c r="P54" s="19"/>
      <c r="Q54" s="19"/>
      <c r="R54" s="19"/>
    </row>
    <row r="55" spans="1:18" s="6" customFormat="1" ht="15.95" customHeight="1" x14ac:dyDescent="0.25">
      <c r="A55" s="570">
        <v>10570050</v>
      </c>
      <c r="B55" s="535" t="s">
        <v>71</v>
      </c>
      <c r="C55" s="538" t="s">
        <v>486</v>
      </c>
      <c r="D55" s="539" t="s">
        <v>357</v>
      </c>
      <c r="E55" s="535">
        <v>30</v>
      </c>
      <c r="F55" s="536">
        <v>312</v>
      </c>
      <c r="G55" s="536">
        <f t="shared" si="10"/>
        <v>9360</v>
      </c>
      <c r="H55" s="569" t="s">
        <v>74</v>
      </c>
      <c r="I55" s="537" t="s">
        <v>26</v>
      </c>
      <c r="J55" s="19"/>
      <c r="K55" s="19"/>
      <c r="L55" s="19"/>
      <c r="M55" s="19"/>
      <c r="N55" s="19"/>
      <c r="O55" s="19"/>
      <c r="P55" s="19"/>
      <c r="Q55" s="19"/>
      <c r="R55" s="19"/>
    </row>
    <row r="56" spans="1:18" s="6" customFormat="1" ht="15.95" customHeight="1" x14ac:dyDescent="0.25">
      <c r="A56" s="570">
        <v>10570050</v>
      </c>
      <c r="B56" s="535" t="s">
        <v>71</v>
      </c>
      <c r="C56" s="538" t="s">
        <v>487</v>
      </c>
      <c r="D56" s="539" t="s">
        <v>216</v>
      </c>
      <c r="E56" s="535">
        <v>30</v>
      </c>
      <c r="F56" s="536">
        <v>86</v>
      </c>
      <c r="G56" s="536">
        <f t="shared" si="10"/>
        <v>2580</v>
      </c>
      <c r="H56" s="569" t="s">
        <v>74</v>
      </c>
      <c r="I56" s="537" t="s">
        <v>26</v>
      </c>
      <c r="J56" s="19"/>
      <c r="K56" s="19"/>
      <c r="L56" s="19"/>
      <c r="M56" s="19"/>
      <c r="N56" s="19"/>
      <c r="O56" s="19"/>
      <c r="P56" s="19"/>
      <c r="Q56" s="19"/>
      <c r="R56" s="19"/>
    </row>
    <row r="57" spans="1:18" s="6" customFormat="1" ht="15.95" customHeight="1" x14ac:dyDescent="0.25">
      <c r="A57" s="570">
        <v>10570050</v>
      </c>
      <c r="B57" s="535" t="s">
        <v>71</v>
      </c>
      <c r="C57" s="538" t="s">
        <v>570</v>
      </c>
      <c r="D57" s="539" t="s">
        <v>578</v>
      </c>
      <c r="E57" s="535">
        <v>30</v>
      </c>
      <c r="F57" s="536">
        <v>248</v>
      </c>
      <c r="G57" s="536">
        <f t="shared" si="10"/>
        <v>7440</v>
      </c>
      <c r="H57" s="569" t="s">
        <v>74</v>
      </c>
      <c r="I57" s="537" t="s">
        <v>26</v>
      </c>
      <c r="J57" s="19"/>
      <c r="K57" s="19"/>
      <c r="L57" s="19"/>
      <c r="M57" s="19"/>
      <c r="N57" s="19"/>
      <c r="O57" s="19"/>
      <c r="P57" s="19"/>
      <c r="Q57" s="19"/>
      <c r="R57" s="19"/>
    </row>
    <row r="58" spans="1:18" s="6" customFormat="1" ht="15.95" customHeight="1" x14ac:dyDescent="0.25">
      <c r="A58" s="571" t="s">
        <v>143</v>
      </c>
      <c r="B58" s="65" t="s">
        <v>106</v>
      </c>
      <c r="C58" s="66" t="s">
        <v>488</v>
      </c>
      <c r="D58" s="72" t="s">
        <v>357</v>
      </c>
      <c r="E58" s="67">
        <v>30</v>
      </c>
      <c r="F58" s="78">
        <v>24</v>
      </c>
      <c r="G58" s="55">
        <f t="shared" si="9"/>
        <v>720</v>
      </c>
      <c r="H58" s="81" t="s">
        <v>74</v>
      </c>
      <c r="I58" s="81" t="s">
        <v>26</v>
      </c>
      <c r="J58" s="19"/>
      <c r="K58" s="19"/>
      <c r="L58" s="19"/>
      <c r="M58" s="19"/>
      <c r="N58" s="19"/>
      <c r="O58" s="19"/>
      <c r="P58" s="19"/>
      <c r="Q58" s="19"/>
      <c r="R58" s="19"/>
    </row>
    <row r="59" spans="1:18" s="6" customFormat="1" ht="15.95" customHeight="1" x14ac:dyDescent="0.25">
      <c r="A59" s="571" t="s">
        <v>143</v>
      </c>
      <c r="B59" s="65" t="s">
        <v>106</v>
      </c>
      <c r="C59" s="66" t="s">
        <v>377</v>
      </c>
      <c r="D59" s="72" t="s">
        <v>373</v>
      </c>
      <c r="E59" s="67">
        <v>30</v>
      </c>
      <c r="F59" s="78">
        <v>223</v>
      </c>
      <c r="G59" s="55">
        <f>E59*F59</f>
        <v>6690</v>
      </c>
      <c r="H59" s="81" t="s">
        <v>74</v>
      </c>
      <c r="I59" s="81" t="s">
        <v>26</v>
      </c>
      <c r="J59" s="19"/>
      <c r="K59" s="19"/>
      <c r="L59" s="19"/>
      <c r="M59" s="19"/>
      <c r="N59" s="19"/>
      <c r="O59" s="19"/>
      <c r="P59" s="19"/>
      <c r="Q59" s="19"/>
      <c r="R59" s="19"/>
    </row>
    <row r="60" spans="1:18" s="6" customFormat="1" ht="15.95" customHeight="1" x14ac:dyDescent="0.25">
      <c r="A60" s="571" t="s">
        <v>143</v>
      </c>
      <c r="B60" s="65" t="s">
        <v>106</v>
      </c>
      <c r="C60" s="66" t="s">
        <v>485</v>
      </c>
      <c r="D60" s="72" t="s">
        <v>357</v>
      </c>
      <c r="E60" s="67">
        <v>30</v>
      </c>
      <c r="F60" s="78">
        <v>225</v>
      </c>
      <c r="G60" s="55">
        <f t="shared" si="9"/>
        <v>6750</v>
      </c>
      <c r="H60" s="81" t="s">
        <v>74</v>
      </c>
      <c r="I60" s="81" t="s">
        <v>26</v>
      </c>
      <c r="J60" s="19"/>
      <c r="K60" s="19"/>
      <c r="L60" s="19"/>
      <c r="M60" s="19"/>
      <c r="N60" s="19"/>
      <c r="O60" s="19"/>
      <c r="P60" s="19"/>
      <c r="Q60" s="19"/>
      <c r="R60" s="19"/>
    </row>
    <row r="61" spans="1:18" s="6" customFormat="1" ht="15.95" customHeight="1" x14ac:dyDescent="0.25">
      <c r="A61" s="571" t="s">
        <v>143</v>
      </c>
      <c r="B61" s="65" t="s">
        <v>106</v>
      </c>
      <c r="C61" s="66" t="s">
        <v>483</v>
      </c>
      <c r="D61" s="72" t="s">
        <v>357</v>
      </c>
      <c r="E61" s="67">
        <v>30</v>
      </c>
      <c r="F61" s="78">
        <v>79</v>
      </c>
      <c r="G61" s="55">
        <f>E61*F61</f>
        <v>2370</v>
      </c>
      <c r="H61" s="81" t="s">
        <v>74</v>
      </c>
      <c r="I61" s="81" t="s">
        <v>26</v>
      </c>
      <c r="J61" s="19"/>
      <c r="K61" s="19"/>
      <c r="L61" s="19"/>
      <c r="M61" s="19"/>
      <c r="N61" s="19"/>
      <c r="O61" s="19"/>
      <c r="P61" s="19"/>
      <c r="Q61" s="19"/>
      <c r="R61" s="19"/>
    </row>
    <row r="62" spans="1:18" s="6" customFormat="1" ht="15.95" customHeight="1" x14ac:dyDescent="0.25">
      <c r="A62" s="571" t="s">
        <v>143</v>
      </c>
      <c r="B62" s="65" t="s">
        <v>106</v>
      </c>
      <c r="C62" s="66" t="s">
        <v>579</v>
      </c>
      <c r="D62" s="72" t="s">
        <v>578</v>
      </c>
      <c r="E62" s="67">
        <v>30</v>
      </c>
      <c r="F62" s="78">
        <v>310</v>
      </c>
      <c r="G62" s="55">
        <f>E62*F62</f>
        <v>9300</v>
      </c>
      <c r="H62" s="81" t="s">
        <v>74</v>
      </c>
      <c r="I62" s="81" t="s">
        <v>26</v>
      </c>
      <c r="J62" s="19"/>
      <c r="K62" s="19"/>
      <c r="L62" s="19"/>
      <c r="M62" s="19"/>
      <c r="N62" s="19"/>
      <c r="O62" s="19"/>
      <c r="P62" s="19"/>
      <c r="Q62" s="19"/>
      <c r="R62" s="19"/>
    </row>
    <row r="63" spans="1:18" ht="15.75" customHeight="1" x14ac:dyDescent="0.25">
      <c r="A63" s="565" t="s">
        <v>140</v>
      </c>
      <c r="B63" s="535" t="s">
        <v>141</v>
      </c>
      <c r="C63" s="538" t="s">
        <v>580</v>
      </c>
      <c r="D63" s="539" t="s">
        <v>581</v>
      </c>
      <c r="E63" s="560">
        <v>100</v>
      </c>
      <c r="F63" s="561">
        <v>4422</v>
      </c>
      <c r="G63" s="562">
        <f>E63*F63</f>
        <v>442200</v>
      </c>
      <c r="H63" s="535" t="s">
        <v>74</v>
      </c>
      <c r="I63" s="537" t="s">
        <v>26</v>
      </c>
      <c r="J63" s="80"/>
      <c r="K63" s="80"/>
      <c r="L63" s="80"/>
      <c r="M63" s="80"/>
      <c r="N63" s="80"/>
      <c r="O63" s="80"/>
      <c r="P63" s="80"/>
      <c r="Q63" s="80"/>
      <c r="R63" s="80"/>
    </row>
    <row r="64" spans="1:18" s="6" customFormat="1" ht="15.95" customHeight="1" x14ac:dyDescent="0.25">
      <c r="A64" s="572">
        <v>40240100</v>
      </c>
      <c r="B64" s="62" t="s">
        <v>29</v>
      </c>
      <c r="C64" s="63" t="s">
        <v>582</v>
      </c>
      <c r="D64" s="103" t="s">
        <v>356</v>
      </c>
      <c r="E64" s="64">
        <v>25</v>
      </c>
      <c r="F64" s="77">
        <v>6220</v>
      </c>
      <c r="G64" s="54">
        <f t="shared" si="9"/>
        <v>155500</v>
      </c>
      <c r="H64" s="82" t="s">
        <v>74</v>
      </c>
      <c r="I64" s="82" t="s">
        <v>26</v>
      </c>
      <c r="J64" s="19"/>
      <c r="K64" s="19"/>
      <c r="L64" s="19"/>
      <c r="M64" s="19"/>
      <c r="N64" s="19"/>
      <c r="O64" s="19"/>
      <c r="P64" s="19"/>
      <c r="Q64" s="19"/>
      <c r="R64" s="19"/>
    </row>
    <row r="65" spans="1:18" s="6" customFormat="1" ht="15.95" customHeight="1" x14ac:dyDescent="0.25">
      <c r="A65" s="572">
        <v>40240100</v>
      </c>
      <c r="B65" s="62" t="s">
        <v>29</v>
      </c>
      <c r="C65" s="63" t="s">
        <v>489</v>
      </c>
      <c r="D65" s="103" t="s">
        <v>330</v>
      </c>
      <c r="E65" s="64">
        <v>25</v>
      </c>
      <c r="F65" s="77">
        <v>50</v>
      </c>
      <c r="G65" s="54">
        <f t="shared" si="9"/>
        <v>1250</v>
      </c>
      <c r="H65" s="82" t="s">
        <v>74</v>
      </c>
      <c r="I65" s="82" t="s">
        <v>26</v>
      </c>
      <c r="J65" s="19"/>
      <c r="K65" s="19"/>
      <c r="L65" s="19"/>
      <c r="M65" s="19"/>
      <c r="N65" s="19"/>
      <c r="O65" s="19"/>
      <c r="P65" s="19"/>
      <c r="Q65" s="19"/>
      <c r="R65" s="19"/>
    </row>
    <row r="66" spans="1:18" ht="15.95" customHeight="1" x14ac:dyDescent="0.25">
      <c r="A66" s="572">
        <v>40240100</v>
      </c>
      <c r="B66" s="62" t="s">
        <v>29</v>
      </c>
      <c r="C66" s="63" t="s">
        <v>583</v>
      </c>
      <c r="D66" s="103" t="s">
        <v>217</v>
      </c>
      <c r="E66" s="64">
        <v>25</v>
      </c>
      <c r="F66" s="77">
        <v>50</v>
      </c>
      <c r="G66" s="54">
        <f t="shared" si="9"/>
        <v>1250</v>
      </c>
      <c r="H66" s="82" t="s">
        <v>74</v>
      </c>
      <c r="I66" s="82" t="s">
        <v>26</v>
      </c>
      <c r="J66" s="80"/>
      <c r="K66" s="80"/>
      <c r="L66" s="80"/>
      <c r="M66" s="80"/>
      <c r="N66" s="80"/>
      <c r="O66" s="80"/>
      <c r="P66" s="80"/>
      <c r="Q66" s="80"/>
      <c r="R66" s="80"/>
    </row>
    <row r="67" spans="1:18" ht="15.95" customHeight="1" x14ac:dyDescent="0.25">
      <c r="A67" s="572">
        <v>40240100</v>
      </c>
      <c r="B67" s="62" t="s">
        <v>29</v>
      </c>
      <c r="C67" s="63" t="s">
        <v>576</v>
      </c>
      <c r="D67" s="103" t="s">
        <v>376</v>
      </c>
      <c r="E67" s="64">
        <v>25</v>
      </c>
      <c r="F67" s="77">
        <v>9220</v>
      </c>
      <c r="G67" s="54">
        <f t="shared" si="9"/>
        <v>230500</v>
      </c>
      <c r="H67" s="82" t="s">
        <v>74</v>
      </c>
      <c r="I67" s="82" t="s">
        <v>26</v>
      </c>
      <c r="J67" s="80"/>
      <c r="K67" s="80"/>
      <c r="L67" s="80"/>
      <c r="M67" s="80"/>
      <c r="N67" s="80"/>
      <c r="O67" s="80"/>
      <c r="P67" s="80"/>
      <c r="Q67" s="80"/>
      <c r="R67" s="80"/>
    </row>
    <row r="68" spans="1:18" ht="15.95" customHeight="1" x14ac:dyDescent="0.25">
      <c r="A68" s="572">
        <v>40240100</v>
      </c>
      <c r="B68" s="62" t="s">
        <v>29</v>
      </c>
      <c r="C68" s="63" t="s">
        <v>576</v>
      </c>
      <c r="D68" s="103" t="s">
        <v>376</v>
      </c>
      <c r="E68" s="64">
        <v>25</v>
      </c>
      <c r="F68" s="77">
        <v>2980</v>
      </c>
      <c r="G68" s="54">
        <f t="shared" si="9"/>
        <v>74500</v>
      </c>
      <c r="H68" s="82" t="s">
        <v>74</v>
      </c>
      <c r="I68" s="82" t="s">
        <v>26</v>
      </c>
      <c r="J68" s="80"/>
      <c r="K68" s="80"/>
      <c r="L68" s="80"/>
      <c r="M68" s="80"/>
      <c r="N68" s="80"/>
      <c r="O68" s="80"/>
      <c r="P68" s="80"/>
      <c r="Q68" s="80"/>
      <c r="R68" s="80"/>
    </row>
    <row r="69" spans="1:18" s="1095" customFormat="1" ht="15.95" customHeight="1" x14ac:dyDescent="0.25">
      <c r="A69" s="1086"/>
      <c r="B69" s="1087"/>
      <c r="C69" s="1088"/>
      <c r="D69" s="1089"/>
      <c r="E69" s="1090"/>
      <c r="F69" s="1091"/>
      <c r="G69" s="1092"/>
      <c r="H69" s="1093"/>
      <c r="I69" s="1093"/>
      <c r="J69" s="1094"/>
      <c r="K69" s="1094"/>
      <c r="L69" s="1094"/>
      <c r="M69" s="1094"/>
      <c r="N69" s="1094"/>
      <c r="O69" s="1094"/>
      <c r="P69" s="1094"/>
      <c r="Q69" s="1094"/>
      <c r="R69" s="1094"/>
    </row>
    <row r="70" spans="1:18" ht="15.95" customHeight="1" x14ac:dyDescent="0.25">
      <c r="A70" s="47" t="s">
        <v>78</v>
      </c>
      <c r="B70" s="48"/>
      <c r="C70" s="49"/>
      <c r="D70" s="49"/>
      <c r="E70" s="48"/>
      <c r="F70" s="74"/>
      <c r="G70" s="76">
        <f t="shared" ref="G70:G73" si="11">E70*F70</f>
        <v>0</v>
      </c>
      <c r="H70" s="59"/>
      <c r="I70" s="59"/>
      <c r="J70" s="80"/>
      <c r="K70" s="80"/>
      <c r="L70" s="80"/>
      <c r="M70" s="80"/>
      <c r="N70" s="80"/>
      <c r="O70" s="80"/>
      <c r="P70" s="80"/>
      <c r="Q70" s="80"/>
      <c r="R70" s="80"/>
    </row>
    <row r="71" spans="1:18" s="145" customFormat="1" ht="15.95" customHeight="1" x14ac:dyDescent="0.2">
      <c r="A71" s="1096" t="s">
        <v>210</v>
      </c>
      <c r="B71" s="569" t="s">
        <v>120</v>
      </c>
      <c r="C71" s="576" t="s">
        <v>567</v>
      </c>
      <c r="D71" s="577">
        <v>46721</v>
      </c>
      <c r="E71" s="569">
        <v>30</v>
      </c>
      <c r="F71" s="562">
        <v>787</v>
      </c>
      <c r="G71" s="562">
        <f t="shared" si="11"/>
        <v>23610</v>
      </c>
      <c r="H71" s="569" t="s">
        <v>74</v>
      </c>
      <c r="I71" s="573" t="s">
        <v>27</v>
      </c>
    </row>
    <row r="72" spans="1:18" s="442" customFormat="1" ht="15.95" customHeight="1" x14ac:dyDescent="0.2">
      <c r="A72" s="1082">
        <v>10570040</v>
      </c>
      <c r="B72" s="545" t="s">
        <v>108</v>
      </c>
      <c r="C72" s="548" t="s">
        <v>568</v>
      </c>
      <c r="D72" s="549">
        <v>46418</v>
      </c>
      <c r="E72" s="545">
        <v>30</v>
      </c>
      <c r="F72" s="546">
        <v>801</v>
      </c>
      <c r="G72" s="546">
        <f t="shared" si="11"/>
        <v>24030</v>
      </c>
      <c r="H72" s="568" t="s">
        <v>74</v>
      </c>
      <c r="I72" s="586" t="s">
        <v>27</v>
      </c>
    </row>
    <row r="73" spans="1:18" s="442" customFormat="1" ht="15.95" customHeight="1" x14ac:dyDescent="0.2">
      <c r="A73" s="580">
        <v>10570050</v>
      </c>
      <c r="B73" s="535" t="s">
        <v>71</v>
      </c>
      <c r="C73" s="538" t="s">
        <v>569</v>
      </c>
      <c r="D73" s="539">
        <v>46721</v>
      </c>
      <c r="E73" s="535">
        <v>30</v>
      </c>
      <c r="F73" s="536">
        <f>411+380</f>
        <v>791</v>
      </c>
      <c r="G73" s="536">
        <f t="shared" si="11"/>
        <v>23730</v>
      </c>
      <c r="H73" s="569" t="s">
        <v>74</v>
      </c>
      <c r="I73" s="537" t="s">
        <v>27</v>
      </c>
    </row>
    <row r="74" spans="1:18" s="442" customFormat="1" ht="15.95" customHeight="1" x14ac:dyDescent="0.2">
      <c r="A74" s="580">
        <v>10570050</v>
      </c>
      <c r="B74" s="535" t="s">
        <v>71</v>
      </c>
      <c r="C74" s="538" t="s">
        <v>585</v>
      </c>
      <c r="D74" s="539">
        <v>46843</v>
      </c>
      <c r="E74" s="535">
        <v>30</v>
      </c>
      <c r="F74" s="536">
        <v>18</v>
      </c>
      <c r="G74" s="536">
        <f t="shared" ref="G74" si="12">E74*F74</f>
        <v>540</v>
      </c>
      <c r="H74" s="569" t="s">
        <v>74</v>
      </c>
      <c r="I74" s="537" t="s">
        <v>27</v>
      </c>
    </row>
    <row r="75" spans="1:18" s="6" customFormat="1" ht="15.95" customHeight="1" x14ac:dyDescent="0.25">
      <c r="A75" s="1083" t="s">
        <v>143</v>
      </c>
      <c r="B75" s="568" t="s">
        <v>106</v>
      </c>
      <c r="C75" s="582" t="s">
        <v>572</v>
      </c>
      <c r="D75" s="583">
        <v>46721</v>
      </c>
      <c r="E75" s="568">
        <v>30</v>
      </c>
      <c r="F75" s="584">
        <v>1056</v>
      </c>
      <c r="G75" s="584">
        <f>E75*F75</f>
        <v>31680</v>
      </c>
      <c r="H75" s="568" t="s">
        <v>74</v>
      </c>
      <c r="I75" s="585" t="s">
        <v>27</v>
      </c>
    </row>
    <row r="76" spans="1:18" ht="15.95" customHeight="1" x14ac:dyDescent="0.25">
      <c r="A76" s="580">
        <v>10570130</v>
      </c>
      <c r="B76" s="574" t="s">
        <v>101</v>
      </c>
      <c r="C76" s="538">
        <v>70324</v>
      </c>
      <c r="D76" s="539">
        <v>46446</v>
      </c>
      <c r="E76" s="535">
        <v>100</v>
      </c>
      <c r="F76" s="536">
        <v>450</v>
      </c>
      <c r="G76" s="536">
        <f>E76*F76</f>
        <v>45000</v>
      </c>
      <c r="H76" s="569" t="s">
        <v>74</v>
      </c>
      <c r="I76" s="573" t="s">
        <v>27</v>
      </c>
      <c r="J76" s="80"/>
      <c r="K76" s="80"/>
      <c r="L76" s="80"/>
      <c r="M76" s="80"/>
      <c r="N76" s="80"/>
      <c r="O76" s="80"/>
      <c r="P76" s="80"/>
      <c r="Q76" s="80"/>
      <c r="R76" s="80"/>
    </row>
    <row r="77" spans="1:18" ht="15.95" customHeight="1" x14ac:dyDescent="0.25">
      <c r="A77" s="580">
        <v>10570030</v>
      </c>
      <c r="B77" s="574" t="s">
        <v>101</v>
      </c>
      <c r="C77" s="538">
        <v>80324</v>
      </c>
      <c r="D77" s="539">
        <v>46446</v>
      </c>
      <c r="E77" s="535">
        <v>100</v>
      </c>
      <c r="F77" s="536">
        <v>530</v>
      </c>
      <c r="G77" s="536">
        <f>E77*F77</f>
        <v>53000</v>
      </c>
      <c r="H77" s="569" t="s">
        <v>74</v>
      </c>
      <c r="I77" s="573" t="s">
        <v>27</v>
      </c>
      <c r="J77" s="80"/>
      <c r="K77" s="80"/>
      <c r="L77" s="80"/>
      <c r="M77" s="80"/>
      <c r="N77" s="80"/>
      <c r="O77" s="80"/>
      <c r="P77" s="80"/>
      <c r="Q77" s="80"/>
      <c r="R77" s="80"/>
    </row>
    <row r="78" spans="1:18" ht="15.95" customHeight="1" x14ac:dyDescent="0.25">
      <c r="A78" s="1084">
        <v>40240100</v>
      </c>
      <c r="B78" s="587" t="s">
        <v>29</v>
      </c>
      <c r="C78" s="582" t="s">
        <v>586</v>
      </c>
      <c r="D78" s="544">
        <v>46418</v>
      </c>
      <c r="E78" s="587">
        <v>25</v>
      </c>
      <c r="F78" s="588">
        <v>5000</v>
      </c>
      <c r="G78" s="588">
        <f>E78*F78</f>
        <v>125000</v>
      </c>
      <c r="H78" s="587" t="s">
        <v>74</v>
      </c>
      <c r="I78" s="547" t="s">
        <v>176</v>
      </c>
      <c r="J78" s="80"/>
      <c r="K78" s="80"/>
      <c r="L78" s="80"/>
      <c r="M78" s="80"/>
      <c r="N78" s="80"/>
      <c r="O78" s="80"/>
      <c r="P78" s="80"/>
      <c r="Q78" s="80"/>
      <c r="R78" s="80"/>
    </row>
    <row r="79" spans="1:18" ht="15.95" customHeight="1" x14ac:dyDescent="0.25">
      <c r="A79" s="1084">
        <v>40240100</v>
      </c>
      <c r="B79" s="587" t="s">
        <v>29</v>
      </c>
      <c r="C79" s="582" t="s">
        <v>575</v>
      </c>
      <c r="D79" s="544">
        <v>46507</v>
      </c>
      <c r="E79" s="587">
        <v>25</v>
      </c>
      <c r="F79" s="588">
        <v>7100</v>
      </c>
      <c r="G79" s="588">
        <f>E79*F79</f>
        <v>177500</v>
      </c>
      <c r="H79" s="587" t="s">
        <v>74</v>
      </c>
      <c r="I79" s="547" t="s">
        <v>176</v>
      </c>
      <c r="J79" s="80"/>
      <c r="K79" s="80"/>
      <c r="L79" s="80"/>
      <c r="M79" s="80"/>
      <c r="N79" s="80"/>
      <c r="O79" s="80"/>
      <c r="P79" s="80"/>
      <c r="Q79" s="80"/>
      <c r="R79" s="80"/>
    </row>
    <row r="80" spans="1:18" s="1095" customFormat="1" ht="15.95" customHeight="1" x14ac:dyDescent="0.25">
      <c r="A80" s="1097"/>
      <c r="B80" s="1098"/>
      <c r="C80" s="1088"/>
      <c r="D80" s="1099"/>
      <c r="E80" s="1098"/>
      <c r="F80" s="1100"/>
      <c r="G80" s="1100"/>
      <c r="H80" s="1098"/>
      <c r="I80" s="1101"/>
      <c r="J80" s="1094"/>
      <c r="K80" s="1094"/>
      <c r="L80" s="1094"/>
      <c r="M80" s="1094"/>
      <c r="N80" s="1094"/>
      <c r="O80" s="1094"/>
      <c r="P80" s="1094"/>
      <c r="Q80" s="1094"/>
      <c r="R80" s="1094"/>
    </row>
    <row r="81" spans="1:9" s="442" customFormat="1" ht="15.95" customHeight="1" x14ac:dyDescent="0.2">
      <c r="A81" s="1085" t="s">
        <v>81</v>
      </c>
      <c r="B81" s="590"/>
      <c r="C81" s="591"/>
      <c r="D81" s="592"/>
      <c r="E81" s="590"/>
      <c r="F81" s="593"/>
      <c r="G81" s="593"/>
      <c r="H81" s="590"/>
      <c r="I81" s="594"/>
    </row>
    <row r="82" spans="1:9" s="442" customFormat="1" ht="15.95" customHeight="1" x14ac:dyDescent="0.2">
      <c r="A82" s="1083">
        <v>10570030</v>
      </c>
      <c r="B82" s="568" t="s">
        <v>120</v>
      </c>
      <c r="C82" s="582" t="s">
        <v>374</v>
      </c>
      <c r="D82" s="583" t="s">
        <v>357</v>
      </c>
      <c r="E82" s="568">
        <v>30</v>
      </c>
      <c r="F82" s="584">
        <v>51</v>
      </c>
      <c r="G82" s="584">
        <f t="shared" ref="G82:G88" si="13">E82*F82</f>
        <v>1530</v>
      </c>
      <c r="H82" s="568" t="s">
        <v>74</v>
      </c>
      <c r="I82" s="585" t="s">
        <v>28</v>
      </c>
    </row>
    <row r="83" spans="1:9" s="442" customFormat="1" ht="15.95" customHeight="1" x14ac:dyDescent="0.2">
      <c r="A83" s="1083">
        <v>10570030</v>
      </c>
      <c r="B83" s="568" t="s">
        <v>120</v>
      </c>
      <c r="C83" s="582" t="s">
        <v>372</v>
      </c>
      <c r="D83" s="583" t="s">
        <v>373</v>
      </c>
      <c r="E83" s="568">
        <v>30</v>
      </c>
      <c r="F83" s="584">
        <v>456</v>
      </c>
      <c r="G83" s="584">
        <f t="shared" si="13"/>
        <v>13680</v>
      </c>
      <c r="H83" s="568" t="s">
        <v>74</v>
      </c>
      <c r="I83" s="585" t="s">
        <v>28</v>
      </c>
    </row>
    <row r="84" spans="1:9" s="145" customFormat="1" ht="15.95" customHeight="1" x14ac:dyDescent="0.2">
      <c r="A84" s="580">
        <v>10570040</v>
      </c>
      <c r="B84" s="535" t="s">
        <v>108</v>
      </c>
      <c r="C84" s="613" t="s">
        <v>587</v>
      </c>
      <c r="D84" s="539" t="s">
        <v>373</v>
      </c>
      <c r="E84" s="535">
        <v>30</v>
      </c>
      <c r="F84" s="536">
        <v>480</v>
      </c>
      <c r="G84" s="536">
        <f t="shared" si="13"/>
        <v>14400</v>
      </c>
      <c r="H84" s="569" t="s">
        <v>74</v>
      </c>
      <c r="I84" s="573" t="s">
        <v>28</v>
      </c>
    </row>
    <row r="85" spans="1:9" s="145" customFormat="1" ht="15.95" customHeight="1" x14ac:dyDescent="0.2">
      <c r="A85" s="580">
        <v>10570040</v>
      </c>
      <c r="B85" s="535" t="s">
        <v>108</v>
      </c>
      <c r="C85" s="613" t="s">
        <v>585</v>
      </c>
      <c r="D85" s="539">
        <v>46904</v>
      </c>
      <c r="E85" s="535">
        <v>30</v>
      </c>
      <c r="F85" s="536">
        <v>57</v>
      </c>
      <c r="G85" s="536">
        <f t="shared" si="13"/>
        <v>1710</v>
      </c>
      <c r="H85" s="569" t="s">
        <v>74</v>
      </c>
      <c r="I85" s="573" t="s">
        <v>28</v>
      </c>
    </row>
    <row r="86" spans="1:9" s="145" customFormat="1" ht="15.95" customHeight="1" x14ac:dyDescent="0.2">
      <c r="A86" s="580">
        <v>10570040</v>
      </c>
      <c r="B86" s="535" t="s">
        <v>108</v>
      </c>
      <c r="C86" s="613" t="s">
        <v>584</v>
      </c>
      <c r="D86" s="539" t="s">
        <v>578</v>
      </c>
      <c r="E86" s="535">
        <v>30</v>
      </c>
      <c r="F86" s="536">
        <v>168</v>
      </c>
      <c r="G86" s="536">
        <f t="shared" ref="G86" si="14">E86*F86</f>
        <v>5040</v>
      </c>
      <c r="H86" s="569" t="s">
        <v>74</v>
      </c>
      <c r="I86" s="573" t="s">
        <v>28</v>
      </c>
    </row>
    <row r="87" spans="1:9" s="145" customFormat="1" ht="15.95" customHeight="1" x14ac:dyDescent="0.2">
      <c r="A87" s="1082">
        <v>10570050</v>
      </c>
      <c r="B87" s="545" t="s">
        <v>71</v>
      </c>
      <c r="C87" s="1102" t="s">
        <v>381</v>
      </c>
      <c r="D87" s="549" t="s">
        <v>373</v>
      </c>
      <c r="E87" s="545">
        <v>30</v>
      </c>
      <c r="F87" s="546">
        <v>155</v>
      </c>
      <c r="G87" s="546">
        <f t="shared" si="13"/>
        <v>4650</v>
      </c>
      <c r="H87" s="568" t="s">
        <v>74</v>
      </c>
      <c r="I87" s="547" t="s">
        <v>28</v>
      </c>
    </row>
    <row r="88" spans="1:9" s="145" customFormat="1" ht="15.95" customHeight="1" x14ac:dyDescent="0.2">
      <c r="A88" s="1082">
        <v>10570050</v>
      </c>
      <c r="B88" s="545" t="s">
        <v>71</v>
      </c>
      <c r="C88" s="1102" t="s">
        <v>570</v>
      </c>
      <c r="D88" s="549">
        <v>46721</v>
      </c>
      <c r="E88" s="545">
        <v>30</v>
      </c>
      <c r="F88" s="546">
        <v>200</v>
      </c>
      <c r="G88" s="546">
        <f t="shared" si="13"/>
        <v>6000</v>
      </c>
      <c r="H88" s="568" t="s">
        <v>74</v>
      </c>
      <c r="I88" s="547" t="s">
        <v>28</v>
      </c>
    </row>
    <row r="89" spans="1:9" s="145" customFormat="1" ht="15.95" customHeight="1" x14ac:dyDescent="0.2">
      <c r="A89" s="579" t="s">
        <v>143</v>
      </c>
      <c r="B89" s="569" t="s">
        <v>106</v>
      </c>
      <c r="C89" s="613" t="s">
        <v>588</v>
      </c>
      <c r="D89" s="539" t="s">
        <v>589</v>
      </c>
      <c r="E89" s="569">
        <v>30</v>
      </c>
      <c r="F89" s="562">
        <v>57</v>
      </c>
      <c r="G89" s="562">
        <f t="shared" ref="G89:G95" si="15">E89*F89</f>
        <v>1710</v>
      </c>
      <c r="H89" s="569" t="s">
        <v>74</v>
      </c>
      <c r="I89" s="578" t="s">
        <v>28</v>
      </c>
    </row>
    <row r="90" spans="1:9" s="145" customFormat="1" ht="15.95" customHeight="1" x14ac:dyDescent="0.2">
      <c r="A90" s="1082">
        <v>10570130</v>
      </c>
      <c r="B90" s="587" t="s">
        <v>101</v>
      </c>
      <c r="C90" s="548">
        <v>90324</v>
      </c>
      <c r="D90" s="549" t="s">
        <v>356</v>
      </c>
      <c r="E90" s="545">
        <v>100</v>
      </c>
      <c r="F90" s="546">
        <v>3000</v>
      </c>
      <c r="G90" s="546">
        <f t="shared" si="15"/>
        <v>300000</v>
      </c>
      <c r="H90" s="568" t="s">
        <v>74</v>
      </c>
      <c r="I90" s="586" t="s">
        <v>28</v>
      </c>
    </row>
    <row r="91" spans="1:9" s="145" customFormat="1" ht="15.95" customHeight="1" x14ac:dyDescent="0.2">
      <c r="A91" s="1082">
        <v>10570130</v>
      </c>
      <c r="B91" s="587" t="s">
        <v>101</v>
      </c>
      <c r="C91" s="548">
        <v>50324</v>
      </c>
      <c r="D91" s="549" t="s">
        <v>356</v>
      </c>
      <c r="E91" s="545">
        <v>100</v>
      </c>
      <c r="F91" s="546">
        <v>0</v>
      </c>
      <c r="G91" s="546">
        <f t="shared" si="15"/>
        <v>0</v>
      </c>
      <c r="H91" s="568" t="s">
        <v>74</v>
      </c>
      <c r="I91" s="586" t="s">
        <v>28</v>
      </c>
    </row>
    <row r="92" spans="1:9" s="145" customFormat="1" ht="15.95" customHeight="1" x14ac:dyDescent="0.2">
      <c r="A92" s="1082">
        <v>10570130</v>
      </c>
      <c r="B92" s="587" t="s">
        <v>101</v>
      </c>
      <c r="C92" s="548" t="s">
        <v>379</v>
      </c>
      <c r="D92" s="549" t="s">
        <v>356</v>
      </c>
      <c r="E92" s="545">
        <v>100</v>
      </c>
      <c r="F92" s="546">
        <v>2000</v>
      </c>
      <c r="G92" s="546">
        <f t="shared" si="15"/>
        <v>200000</v>
      </c>
      <c r="H92" s="568" t="s">
        <v>74</v>
      </c>
      <c r="I92" s="586" t="s">
        <v>28</v>
      </c>
    </row>
    <row r="93" spans="1:9" s="145" customFormat="1" ht="15.95" customHeight="1" x14ac:dyDescent="0.2">
      <c r="A93" s="581">
        <v>40240100</v>
      </c>
      <c r="B93" s="574" t="s">
        <v>29</v>
      </c>
      <c r="C93" s="576" t="s">
        <v>590</v>
      </c>
      <c r="D93" s="534" t="s">
        <v>357</v>
      </c>
      <c r="E93" s="574">
        <v>25</v>
      </c>
      <c r="F93" s="575">
        <v>10000</v>
      </c>
      <c r="G93" s="575">
        <f t="shared" si="15"/>
        <v>250000</v>
      </c>
      <c r="H93" s="574" t="s">
        <v>74</v>
      </c>
      <c r="I93" s="537" t="s">
        <v>28</v>
      </c>
    </row>
    <row r="94" spans="1:9" s="145" customFormat="1" ht="15.95" customHeight="1" x14ac:dyDescent="0.2">
      <c r="A94" s="581">
        <v>40240100</v>
      </c>
      <c r="B94" s="574" t="s">
        <v>29</v>
      </c>
      <c r="C94" s="576" t="s">
        <v>489</v>
      </c>
      <c r="D94" s="534" t="s">
        <v>330</v>
      </c>
      <c r="E94" s="574">
        <v>25</v>
      </c>
      <c r="F94" s="575">
        <v>211</v>
      </c>
      <c r="G94" s="575">
        <f t="shared" ref="G94" si="16">E94*F94</f>
        <v>5275</v>
      </c>
      <c r="H94" s="574" t="s">
        <v>74</v>
      </c>
      <c r="I94" s="537" t="s">
        <v>28</v>
      </c>
    </row>
    <row r="95" spans="1:9" s="145" customFormat="1" ht="15.95" customHeight="1" x14ac:dyDescent="0.2">
      <c r="A95" s="581">
        <v>40240100</v>
      </c>
      <c r="B95" s="574" t="s">
        <v>29</v>
      </c>
      <c r="C95" s="576" t="s">
        <v>586</v>
      </c>
      <c r="D95" s="534" t="s">
        <v>356</v>
      </c>
      <c r="E95" s="574">
        <v>25</v>
      </c>
      <c r="F95" s="575">
        <v>10000</v>
      </c>
      <c r="G95" s="575">
        <f t="shared" si="15"/>
        <v>250000</v>
      </c>
      <c r="H95" s="574" t="s">
        <v>74</v>
      </c>
      <c r="I95" s="537" t="s">
        <v>28</v>
      </c>
    </row>
    <row r="96" spans="1:9" s="1104" customFormat="1" ht="15.95" customHeight="1" x14ac:dyDescent="0.2">
      <c r="A96" s="1097"/>
      <c r="B96" s="1098"/>
      <c r="C96" s="1088"/>
      <c r="D96" s="1099"/>
      <c r="E96" s="1098"/>
      <c r="F96" s="1100"/>
      <c r="G96" s="1103"/>
      <c r="H96" s="1101"/>
      <c r="I96" s="1101"/>
    </row>
    <row r="97" spans="1:9" s="145" customFormat="1" ht="15.95" customHeight="1" x14ac:dyDescent="0.2">
      <c r="A97" s="589" t="s">
        <v>79</v>
      </c>
      <c r="B97" s="599"/>
      <c r="C97" s="600"/>
      <c r="D97" s="600"/>
      <c r="E97" s="601"/>
      <c r="F97" s="602"/>
      <c r="G97" s="603"/>
      <c r="H97" s="604"/>
      <c r="I97" s="604"/>
    </row>
    <row r="98" spans="1:9" ht="15.95" customHeight="1" x14ac:dyDescent="0.25">
      <c r="A98" s="1105">
        <v>10570030</v>
      </c>
      <c r="B98" s="1106" t="s">
        <v>120</v>
      </c>
      <c r="C98" s="1107" t="s">
        <v>493</v>
      </c>
      <c r="D98" s="1108">
        <v>46507</v>
      </c>
      <c r="E98" s="1109">
        <v>30</v>
      </c>
      <c r="F98" s="1110">
        <v>445</v>
      </c>
      <c r="G98" s="1111">
        <f>E98*F98</f>
        <v>13350</v>
      </c>
      <c r="H98" s="587" t="s">
        <v>74</v>
      </c>
      <c r="I98" s="547" t="s">
        <v>80</v>
      </c>
    </row>
    <row r="99" spans="1:9" ht="15.95" customHeight="1" x14ac:dyDescent="0.25">
      <c r="A99" s="614">
        <v>10570040</v>
      </c>
      <c r="B99" s="607" t="s">
        <v>108</v>
      </c>
      <c r="C99" s="608" t="s">
        <v>494</v>
      </c>
      <c r="D99" s="899">
        <v>46203</v>
      </c>
      <c r="E99" s="609">
        <v>30</v>
      </c>
      <c r="F99" s="610">
        <v>490</v>
      </c>
      <c r="G99" s="611">
        <f>E99*F99</f>
        <v>14700</v>
      </c>
      <c r="H99" s="612" t="s">
        <v>74</v>
      </c>
      <c r="I99" s="541" t="s">
        <v>80</v>
      </c>
    </row>
    <row r="100" spans="1:9" ht="15.95" customHeight="1" x14ac:dyDescent="0.25">
      <c r="A100" s="1105">
        <v>10570050</v>
      </c>
      <c r="B100" s="1106" t="s">
        <v>71</v>
      </c>
      <c r="C100" s="1107" t="s">
        <v>491</v>
      </c>
      <c r="D100" s="1107" t="s">
        <v>490</v>
      </c>
      <c r="E100" s="1109">
        <v>30</v>
      </c>
      <c r="F100" s="1110">
        <v>1339</v>
      </c>
      <c r="G100" s="1111">
        <v>2670</v>
      </c>
      <c r="H100" s="587" t="s">
        <v>74</v>
      </c>
      <c r="I100" s="547" t="s">
        <v>80</v>
      </c>
    </row>
    <row r="101" spans="1:9" ht="15.95" customHeight="1" x14ac:dyDescent="0.25">
      <c r="A101" s="614">
        <v>10570060</v>
      </c>
      <c r="B101" s="607" t="s">
        <v>106</v>
      </c>
      <c r="C101" s="608" t="s">
        <v>495</v>
      </c>
      <c r="D101" s="899">
        <v>46507</v>
      </c>
      <c r="E101" s="609">
        <v>30</v>
      </c>
      <c r="F101" s="610">
        <v>1002</v>
      </c>
      <c r="G101" s="611">
        <f t="shared" ref="G101:G103" si="17">E101*F101</f>
        <v>30060</v>
      </c>
      <c r="H101" s="612" t="s">
        <v>74</v>
      </c>
      <c r="I101" s="541" t="s">
        <v>80</v>
      </c>
    </row>
    <row r="102" spans="1:9" ht="15.95" customHeight="1" x14ac:dyDescent="0.25">
      <c r="A102" s="615" t="s">
        <v>140</v>
      </c>
      <c r="B102" s="540" t="s">
        <v>141</v>
      </c>
      <c r="C102" s="595" t="s">
        <v>496</v>
      </c>
      <c r="D102" s="542">
        <v>46390</v>
      </c>
      <c r="E102" s="596">
        <v>100</v>
      </c>
      <c r="F102" s="597">
        <v>5484</v>
      </c>
      <c r="G102" s="597">
        <f t="shared" si="17"/>
        <v>548400</v>
      </c>
      <c r="H102" s="540" t="s">
        <v>74</v>
      </c>
      <c r="I102" s="598" t="s">
        <v>80</v>
      </c>
    </row>
    <row r="103" spans="1:9" ht="15.95" customHeight="1" x14ac:dyDescent="0.25">
      <c r="A103" s="616">
        <v>40240100</v>
      </c>
      <c r="B103" s="590" t="s">
        <v>29</v>
      </c>
      <c r="C103" s="591" t="s">
        <v>497</v>
      </c>
      <c r="D103" s="592">
        <v>46325</v>
      </c>
      <c r="E103" s="605">
        <v>25</v>
      </c>
      <c r="F103" s="606">
        <v>7644</v>
      </c>
      <c r="G103" s="593">
        <f t="shared" si="17"/>
        <v>191100</v>
      </c>
      <c r="H103" s="590" t="s">
        <v>74</v>
      </c>
      <c r="I103" s="594" t="s">
        <v>80</v>
      </c>
    </row>
  </sheetData>
  <phoneticPr fontId="5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E13" sqref="E13"/>
    </sheetView>
  </sheetViews>
  <sheetFormatPr defaultRowHeight="15" x14ac:dyDescent="0.25"/>
  <cols>
    <col min="1" max="1" width="11.28515625" customWidth="1"/>
    <col min="2" max="2" width="11.7109375" bestFit="1" customWidth="1"/>
    <col min="3" max="3" width="11.85546875" bestFit="1" customWidth="1"/>
    <col min="4" max="4" width="11.28515625" customWidth="1"/>
    <col min="5" max="5" width="7.85546875" customWidth="1"/>
    <col min="6" max="7" width="11.5703125" customWidth="1"/>
    <col min="8" max="8" width="12.140625" customWidth="1"/>
    <col min="9" max="9" width="11.28515625" customWidth="1"/>
    <col min="10" max="10" width="33.7109375" customWidth="1"/>
    <col min="11" max="11" width="13" customWidth="1"/>
    <col min="12" max="12" width="13.42578125" customWidth="1"/>
    <col min="13" max="13" width="19.28515625" customWidth="1"/>
  </cols>
  <sheetData>
    <row r="1" spans="1:13" x14ac:dyDescent="0.25">
      <c r="A1" s="1001" t="s">
        <v>428</v>
      </c>
    </row>
    <row r="3" spans="1:13" x14ac:dyDescent="0.25">
      <c r="A3" s="1002" t="s">
        <v>547</v>
      </c>
      <c r="F3" s="1146" t="s">
        <v>548</v>
      </c>
      <c r="G3" s="1145"/>
      <c r="H3" s="1145"/>
      <c r="I3" s="1145"/>
    </row>
    <row r="4" spans="1:13" ht="15" customHeight="1" x14ac:dyDescent="0.25">
      <c r="A4" s="1147"/>
      <c r="B4" s="1003"/>
      <c r="C4" s="1003"/>
      <c r="D4" s="1003"/>
      <c r="E4" s="1003"/>
      <c r="F4" s="1148"/>
      <c r="G4" s="1003"/>
      <c r="H4" s="1003"/>
      <c r="I4" s="1003"/>
    </row>
    <row r="5" spans="1:13" ht="15" customHeight="1" x14ac:dyDescent="0.25">
      <c r="A5" s="1003"/>
      <c r="B5" s="1004" t="s">
        <v>30</v>
      </c>
      <c r="C5" s="1005" t="s">
        <v>429</v>
      </c>
      <c r="D5" s="1005" t="s">
        <v>430</v>
      </c>
      <c r="F5" s="1003"/>
      <c r="G5" s="1004" t="s">
        <v>30</v>
      </c>
      <c r="H5" s="1005" t="s">
        <v>429</v>
      </c>
      <c r="I5" s="1005" t="s">
        <v>430</v>
      </c>
    </row>
    <row r="6" spans="1:13" ht="33" customHeight="1" x14ac:dyDescent="0.25">
      <c r="A6" s="1006" t="s">
        <v>43</v>
      </c>
      <c r="B6" s="1007">
        <f>'ACT-RDT-PQ BY AMS'!B10</f>
        <v>1493475</v>
      </c>
      <c r="C6" s="1007">
        <f>'ACT-RDT-PQ BY AMS'!G10</f>
        <v>414660</v>
      </c>
      <c r="D6" s="1007">
        <f>'ACT-RDT-PQ BY AMS'!H10</f>
        <v>1866300</v>
      </c>
      <c r="F6" s="1006" t="s">
        <v>13</v>
      </c>
      <c r="G6" s="1007">
        <f>'ACT-RDT-PQ BY AMS'!K10</f>
        <v>58825</v>
      </c>
      <c r="H6" s="1007">
        <f>'ACT-RDT-PQ BY AMS'!P10</f>
        <v>208440</v>
      </c>
      <c r="I6" s="1007">
        <f>'ACT-RDT-PQ BY AMS'!Q10</f>
        <v>168500</v>
      </c>
    </row>
    <row r="7" spans="1:13" ht="30" customHeight="1" x14ac:dyDescent="0.25">
      <c r="A7" s="1008" t="s">
        <v>431</v>
      </c>
      <c r="B7" s="1078">
        <f>'ACT-RDT-PQ BY AMS'!B19</f>
        <v>4.4804250000000003</v>
      </c>
      <c r="C7" s="1078">
        <f>'ACT-RDT-PQ BY AMS'!C19</f>
        <v>1.5535588235294118</v>
      </c>
      <c r="D7" s="1078">
        <f>'ACT-RDT-PQ BY AMS'!H19</f>
        <v>1.3410538922155688</v>
      </c>
      <c r="F7" s="1008" t="s">
        <v>433</v>
      </c>
      <c r="G7" s="1080">
        <f>'ACT-RDT-PQ BY AMS'!K19</f>
        <v>0.17647500000000002</v>
      </c>
      <c r="H7" s="1080">
        <f>'ACT-RDT-PQ BY AMS'!L19</f>
        <v>0.55694117647058827</v>
      </c>
      <c r="I7" s="1080">
        <f>'ACT-RDT-PQ BY AMS'!Q19</f>
        <v>0.12107784431137723</v>
      </c>
    </row>
    <row r="8" spans="1:13" ht="32.25" customHeight="1" x14ac:dyDescent="0.25">
      <c r="A8" s="1010" t="s">
        <v>432</v>
      </c>
      <c r="B8" s="1007">
        <f>'ACT-RDT-PQ BY AMS'!B11</f>
        <v>68275</v>
      </c>
      <c r="C8" s="1007">
        <f>'ACT-RDT-PQ BY AMS'!G11</f>
        <v>504900</v>
      </c>
      <c r="D8" s="1007">
        <f>'ACT-RDT-PQ BY AMS'!H11</f>
        <v>0</v>
      </c>
      <c r="F8" s="1010" t="s">
        <v>432</v>
      </c>
      <c r="G8" s="1007">
        <f>'ACT-RDT-PQ BY AMS'!K11</f>
        <v>0</v>
      </c>
      <c r="H8" s="1007">
        <f>'ACT-RDT-PQ BY AMS'!P11</f>
        <v>0</v>
      </c>
      <c r="I8" s="1007">
        <f>'ACT-RDT-PQ BY AMS'!Q11</f>
        <v>0</v>
      </c>
    </row>
    <row r="9" spans="1:13" ht="30" x14ac:dyDescent="0.25">
      <c r="A9" s="1008" t="s">
        <v>431</v>
      </c>
      <c r="B9" s="1078">
        <f>'ACT-RDT-PQ BY AMS'!B20</f>
        <v>0.20482500000000001</v>
      </c>
      <c r="C9" s="1078">
        <f>'ACT-RDT-PQ BY AMS'!C20</f>
        <v>2.6301176470588237</v>
      </c>
      <c r="D9" s="1078">
        <f>'ACT-RDT-PQ BY AMS'!H20</f>
        <v>0</v>
      </c>
      <c r="F9" s="1008" t="s">
        <v>433</v>
      </c>
      <c r="G9" s="1009">
        <f>'ACT-RDT-PQ BY AMS'!K20</f>
        <v>0</v>
      </c>
      <c r="H9" s="1080">
        <f>'ACT-RDT-PQ BY AMS'!L20</f>
        <v>0</v>
      </c>
      <c r="I9" s="1080">
        <f>'ACT-RDT-PQ BY AMS'!Q20</f>
        <v>0</v>
      </c>
    </row>
    <row r="10" spans="1:13" x14ac:dyDescent="0.25">
      <c r="A10" s="1011" t="s">
        <v>15</v>
      </c>
      <c r="B10" s="1012">
        <f t="shared" ref="B10:D11" si="0">B6+B8</f>
        <v>1561750</v>
      </c>
      <c r="C10" s="1012">
        <f t="shared" si="0"/>
        <v>919560</v>
      </c>
      <c r="D10" s="1012">
        <f t="shared" si="0"/>
        <v>1866300</v>
      </c>
      <c r="F10" s="1011" t="s">
        <v>15</v>
      </c>
      <c r="G10" s="1012">
        <f>G8+G6</f>
        <v>58825</v>
      </c>
      <c r="H10" s="1012">
        <f>H8+H6</f>
        <v>208440</v>
      </c>
      <c r="I10" s="1012">
        <f>I8+I6</f>
        <v>168500</v>
      </c>
    </row>
    <row r="11" spans="1:13" ht="30" x14ac:dyDescent="0.25">
      <c r="A11" s="1013" t="s">
        <v>431</v>
      </c>
      <c r="B11" s="1079">
        <f t="shared" si="0"/>
        <v>4.6852499999999999</v>
      </c>
      <c r="C11" s="1079">
        <f t="shared" si="0"/>
        <v>4.1836764705882352</v>
      </c>
      <c r="D11" s="1079">
        <f t="shared" si="0"/>
        <v>1.3410538922155688</v>
      </c>
      <c r="F11" s="1013" t="s">
        <v>434</v>
      </c>
      <c r="G11" s="1081">
        <f>G7+G9</f>
        <v>0.17647500000000002</v>
      </c>
      <c r="H11" s="1081">
        <f>H7+H9</f>
        <v>0.55694117647058827</v>
      </c>
      <c r="I11" s="1081">
        <f>I7+I9</f>
        <v>0.12107784431137723</v>
      </c>
    </row>
    <row r="12" spans="1:13" ht="41.25" customHeight="1" x14ac:dyDescent="0.25">
      <c r="A12" s="1014"/>
      <c r="B12" s="1003"/>
      <c r="C12" s="1003"/>
      <c r="D12" s="1003"/>
      <c r="I12" s="1003"/>
      <c r="J12" s="1350" t="s">
        <v>557</v>
      </c>
      <c r="K12" s="1350"/>
      <c r="L12" s="1350"/>
      <c r="M12" s="1350"/>
    </row>
    <row r="13" spans="1:13" ht="46.5" customHeight="1" x14ac:dyDescent="0.25">
      <c r="A13" s="1014"/>
      <c r="B13" s="1003"/>
      <c r="C13" s="1003"/>
      <c r="D13" s="1003"/>
      <c r="J13" s="1150" t="s">
        <v>41</v>
      </c>
      <c r="K13" s="1151" t="s">
        <v>40</v>
      </c>
      <c r="L13" s="1151" t="s">
        <v>123</v>
      </c>
      <c r="M13" s="1151" t="s">
        <v>549</v>
      </c>
    </row>
    <row r="14" spans="1:13" ht="31.5" customHeight="1" x14ac:dyDescent="0.25">
      <c r="J14" s="1149" t="s">
        <v>550</v>
      </c>
      <c r="K14" s="198">
        <f>' Other A.M.Drugs BY AMS'!B12</f>
        <v>280400</v>
      </c>
      <c r="L14" s="198">
        <f>' Other A.M.Drugs BY AMS'!M12</f>
        <v>0</v>
      </c>
      <c r="M14" s="198">
        <f>K14+L14</f>
        <v>280400</v>
      </c>
    </row>
    <row r="15" spans="1:13" ht="27" customHeight="1" x14ac:dyDescent="0.25">
      <c r="J15" s="1149" t="s">
        <v>551</v>
      </c>
      <c r="K15" s="198">
        <f>' Other A.M.Drugs BY AMS'!C12</f>
        <v>53964</v>
      </c>
      <c r="L15" s="198">
        <f>' Other A.M.Drugs BY AMS'!N12</f>
        <v>22000</v>
      </c>
      <c r="M15" s="198">
        <f t="shared" ref="M15:M20" si="1">K15+L15</f>
        <v>75964</v>
      </c>
    </row>
    <row r="16" spans="1:13" x14ac:dyDescent="0.25">
      <c r="J16" s="1149" t="s">
        <v>552</v>
      </c>
      <c r="K16" s="198">
        <f>' Other A.M.Drugs BY AMS'!D12</f>
        <v>65306</v>
      </c>
      <c r="L16" s="198">
        <f>' Other A.M.Drugs BY AMS'!O12</f>
        <v>10000</v>
      </c>
      <c r="M16" s="198">
        <f t="shared" si="1"/>
        <v>75306</v>
      </c>
    </row>
    <row r="17" spans="10:13" ht="23.25" customHeight="1" x14ac:dyDescent="0.25">
      <c r="J17" s="1149" t="s">
        <v>553</v>
      </c>
      <c r="K17" s="198">
        <f>' Other A.M.Drugs BY AMS'!E12</f>
        <v>22670</v>
      </c>
      <c r="L17" s="198">
        <f>' Other A.M.Drugs BY AMS'!P12</f>
        <v>0</v>
      </c>
      <c r="M17" s="198">
        <f t="shared" si="1"/>
        <v>22670</v>
      </c>
    </row>
    <row r="18" spans="10:13" ht="23.25" customHeight="1" x14ac:dyDescent="0.25">
      <c r="J18" s="1149" t="s">
        <v>554</v>
      </c>
      <c r="K18" s="198">
        <f>' Other A.M.Drugs BY AMS'!F12</f>
        <v>1760</v>
      </c>
      <c r="L18" s="198">
        <f>' Other A.M.Drugs BY AMS'!Q12</f>
        <v>0</v>
      </c>
      <c r="M18" s="198">
        <f t="shared" si="1"/>
        <v>1760</v>
      </c>
    </row>
    <row r="19" spans="10:13" ht="23.25" customHeight="1" x14ac:dyDescent="0.25">
      <c r="J19" s="1149" t="s">
        <v>555</v>
      </c>
      <c r="K19" s="198">
        <f>' Other A.M.Drugs BY AMS'!G12</f>
        <v>99200</v>
      </c>
      <c r="L19" s="198">
        <f>' Other A.M.Drugs BY AMS'!R12</f>
        <v>0</v>
      </c>
      <c r="M19" s="198">
        <f t="shared" si="1"/>
        <v>99200</v>
      </c>
    </row>
    <row r="20" spans="10:13" ht="29.25" customHeight="1" x14ac:dyDescent="0.25">
      <c r="J20" s="1149" t="s">
        <v>556</v>
      </c>
      <c r="K20" s="198">
        <f>' Other A.M.Drugs BY AMS'!J12</f>
        <v>2433</v>
      </c>
      <c r="L20" s="198">
        <f>' Other A.M.Drugs BY AMS'!U12</f>
        <v>0</v>
      </c>
      <c r="M20" s="198">
        <f t="shared" si="1"/>
        <v>2433</v>
      </c>
    </row>
  </sheetData>
  <mergeCells count="1">
    <mergeCell ref="J12:M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4"/>
  <sheetViews>
    <sheetView workbookViewId="0">
      <selection activeCell="D64" sqref="D64"/>
    </sheetView>
  </sheetViews>
  <sheetFormatPr defaultRowHeight="15" x14ac:dyDescent="0.25"/>
  <cols>
    <col min="2" max="2" width="19.5703125" customWidth="1"/>
    <col min="3" max="3" width="14.85546875" customWidth="1"/>
    <col min="10" max="10" width="10.85546875" customWidth="1"/>
    <col min="11" max="11" width="19.7109375" customWidth="1"/>
    <col min="12" max="12" width="32.28515625" customWidth="1"/>
    <col min="14" max="14" width="17.42578125" customWidth="1"/>
    <col min="15" max="15" width="13.28515625" customWidth="1"/>
  </cols>
  <sheetData>
    <row r="1" spans="2:15" ht="28.5" customHeight="1" x14ac:dyDescent="0.25">
      <c r="B1" s="1159" t="s">
        <v>601</v>
      </c>
      <c r="D1" s="1"/>
      <c r="E1" s="1160"/>
      <c r="K1" s="1161"/>
    </row>
    <row r="2" spans="2:15" ht="60" x14ac:dyDescent="0.25">
      <c r="B2" s="1162" t="s">
        <v>602</v>
      </c>
      <c r="C2" s="1163" t="s">
        <v>603</v>
      </c>
      <c r="D2" s="1164" t="s">
        <v>604</v>
      </c>
      <c r="E2" s="1164" t="s">
        <v>605</v>
      </c>
      <c r="F2" s="1164" t="s">
        <v>606</v>
      </c>
      <c r="G2" s="1164" t="s">
        <v>607</v>
      </c>
      <c r="H2" s="1164" t="s">
        <v>608</v>
      </c>
      <c r="I2" s="1164" t="s">
        <v>609</v>
      </c>
      <c r="J2" s="1164" t="s">
        <v>610</v>
      </c>
      <c r="K2" s="1165" t="s">
        <v>611</v>
      </c>
      <c r="L2" s="1165"/>
    </row>
    <row r="3" spans="2:15" x14ac:dyDescent="0.25">
      <c r="B3" s="1166" t="s">
        <v>612</v>
      </c>
      <c r="C3" s="1166" t="s">
        <v>613</v>
      </c>
      <c r="D3" s="1167">
        <v>11100</v>
      </c>
      <c r="E3" s="1166">
        <v>0</v>
      </c>
      <c r="F3" s="1166">
        <v>0</v>
      </c>
      <c r="G3" s="1166">
        <v>0</v>
      </c>
      <c r="H3" s="1166">
        <v>0</v>
      </c>
      <c r="I3" s="1166">
        <v>0</v>
      </c>
      <c r="J3" s="1166" t="s">
        <v>614</v>
      </c>
      <c r="K3" s="1166" t="s">
        <v>615</v>
      </c>
      <c r="L3" s="1168" t="s">
        <v>616</v>
      </c>
    </row>
    <row r="4" spans="2:15" x14ac:dyDescent="0.25">
      <c r="B4" s="1166" t="s">
        <v>617</v>
      </c>
      <c r="C4" s="1166" t="s">
        <v>618</v>
      </c>
      <c r="D4" s="1166">
        <v>0</v>
      </c>
      <c r="E4" s="1166">
        <v>0</v>
      </c>
      <c r="F4" s="1166">
        <v>0</v>
      </c>
      <c r="G4" s="1166">
        <f>243*50</f>
        <v>12150</v>
      </c>
      <c r="H4" s="1167">
        <v>0</v>
      </c>
      <c r="I4" s="1167">
        <v>0</v>
      </c>
      <c r="J4" s="1166" t="s">
        <v>619</v>
      </c>
      <c r="K4" s="1166" t="s">
        <v>620</v>
      </c>
      <c r="L4" s="1168" t="s">
        <v>621</v>
      </c>
    </row>
    <row r="5" spans="2:15" x14ac:dyDescent="0.25">
      <c r="B5" s="1166" t="s">
        <v>622</v>
      </c>
      <c r="C5" s="1166" t="s">
        <v>618</v>
      </c>
      <c r="D5" s="1166">
        <v>0</v>
      </c>
      <c r="E5" s="1166">
        <v>0</v>
      </c>
      <c r="F5" s="1166">
        <v>0</v>
      </c>
      <c r="G5" s="1166">
        <v>12150</v>
      </c>
      <c r="H5" s="1166">
        <v>0</v>
      </c>
      <c r="I5" s="1166">
        <v>0</v>
      </c>
      <c r="J5" s="1166" t="s">
        <v>619</v>
      </c>
      <c r="K5" s="1166" t="s">
        <v>620</v>
      </c>
      <c r="L5" s="1168" t="s">
        <v>621</v>
      </c>
    </row>
    <row r="6" spans="2:15" x14ac:dyDescent="0.25">
      <c r="B6" s="1166" t="s">
        <v>623</v>
      </c>
      <c r="C6" s="1166" t="s">
        <v>618</v>
      </c>
      <c r="D6" s="1166">
        <v>0</v>
      </c>
      <c r="E6" s="1166">
        <v>0</v>
      </c>
      <c r="F6" s="1166">
        <v>0</v>
      </c>
      <c r="G6" s="1166">
        <f>241*50</f>
        <v>12050</v>
      </c>
      <c r="H6" s="1167">
        <v>0</v>
      </c>
      <c r="I6" s="1167">
        <v>0</v>
      </c>
      <c r="J6" s="1166" t="s">
        <v>619</v>
      </c>
      <c r="K6" s="1166" t="s">
        <v>620</v>
      </c>
      <c r="L6" s="1168" t="s">
        <v>621</v>
      </c>
    </row>
    <row r="7" spans="2:15" x14ac:dyDescent="0.25">
      <c r="B7" s="1166" t="s">
        <v>624</v>
      </c>
      <c r="C7" s="1166" t="s">
        <v>618</v>
      </c>
      <c r="D7" s="1166">
        <v>0</v>
      </c>
      <c r="E7" s="1166">
        <v>0</v>
      </c>
      <c r="F7" s="1166">
        <v>0</v>
      </c>
      <c r="G7" s="1166">
        <f>243*50</f>
        <v>12150</v>
      </c>
      <c r="H7" s="1166">
        <v>0</v>
      </c>
      <c r="I7" s="1166">
        <v>0</v>
      </c>
      <c r="J7" s="1166" t="s">
        <v>619</v>
      </c>
      <c r="K7" s="1166" t="s">
        <v>620</v>
      </c>
      <c r="L7" s="1168" t="s">
        <v>621</v>
      </c>
    </row>
    <row r="8" spans="2:15" x14ac:dyDescent="0.25">
      <c r="B8" s="1169" t="s">
        <v>625</v>
      </c>
      <c r="C8" s="1166" t="s">
        <v>618</v>
      </c>
      <c r="D8" s="1166">
        <v>0</v>
      </c>
      <c r="E8" s="1166">
        <v>0</v>
      </c>
      <c r="F8" s="1167">
        <v>0</v>
      </c>
      <c r="G8" s="1167">
        <v>7850</v>
      </c>
      <c r="H8" s="1167">
        <v>0</v>
      </c>
      <c r="I8" s="1167">
        <v>0</v>
      </c>
      <c r="J8" s="1166" t="s">
        <v>619</v>
      </c>
      <c r="K8" s="1166" t="s">
        <v>620</v>
      </c>
      <c r="L8" s="1168" t="s">
        <v>626</v>
      </c>
    </row>
    <row r="9" spans="2:15" x14ac:dyDescent="0.25">
      <c r="B9" s="1170" t="s">
        <v>627</v>
      </c>
      <c r="C9" s="1171" t="s">
        <v>618</v>
      </c>
      <c r="D9" s="1171">
        <v>0</v>
      </c>
      <c r="E9" s="1171">
        <v>0</v>
      </c>
      <c r="F9" s="1172">
        <v>9240</v>
      </c>
      <c r="G9" s="1171">
        <v>0</v>
      </c>
      <c r="H9" s="1171">
        <v>0</v>
      </c>
      <c r="I9" s="1171">
        <v>0</v>
      </c>
      <c r="J9" s="1171" t="s">
        <v>614</v>
      </c>
      <c r="K9" s="1171" t="s">
        <v>628</v>
      </c>
      <c r="L9" s="1173" t="s">
        <v>629</v>
      </c>
    </row>
    <row r="10" spans="2:15" x14ac:dyDescent="0.25">
      <c r="B10" s="1170" t="s">
        <v>630</v>
      </c>
      <c r="C10" s="1171" t="s">
        <v>618</v>
      </c>
      <c r="D10" s="1171">
        <v>0</v>
      </c>
      <c r="E10" s="1171">
        <v>0</v>
      </c>
      <c r="F10" s="1171">
        <v>0</v>
      </c>
      <c r="G10" s="1172">
        <v>0</v>
      </c>
      <c r="H10" s="1172">
        <v>0</v>
      </c>
      <c r="I10" s="1172">
        <v>0</v>
      </c>
      <c r="J10" s="1171" t="s">
        <v>614</v>
      </c>
      <c r="K10" s="1171" t="s">
        <v>628</v>
      </c>
      <c r="L10" s="1173" t="s">
        <v>629</v>
      </c>
    </row>
    <row r="11" spans="2:15" x14ac:dyDescent="0.25">
      <c r="B11" s="1170" t="s">
        <v>631</v>
      </c>
      <c r="C11" s="1171" t="s">
        <v>618</v>
      </c>
      <c r="D11" s="1171">
        <v>0</v>
      </c>
      <c r="E11" s="1171">
        <v>0</v>
      </c>
      <c r="F11" s="1171">
        <v>0</v>
      </c>
      <c r="G11" s="1171">
        <v>0</v>
      </c>
      <c r="H11" s="1171">
        <v>0</v>
      </c>
      <c r="I11" s="1171">
        <v>0</v>
      </c>
      <c r="J11" s="1171" t="s">
        <v>614</v>
      </c>
      <c r="K11" s="1171" t="s">
        <v>628</v>
      </c>
      <c r="L11" s="1173" t="s">
        <v>629</v>
      </c>
    </row>
    <row r="12" spans="2:15" x14ac:dyDescent="0.25">
      <c r="B12" s="1170" t="s">
        <v>632</v>
      </c>
      <c r="C12" s="1171" t="s">
        <v>633</v>
      </c>
      <c r="D12" s="1172">
        <v>0</v>
      </c>
      <c r="E12" s="1172">
        <v>7000</v>
      </c>
      <c r="F12" s="1171">
        <v>0</v>
      </c>
      <c r="G12" s="1172">
        <v>0</v>
      </c>
      <c r="H12" s="1172">
        <v>0</v>
      </c>
      <c r="I12" s="1172">
        <v>0</v>
      </c>
      <c r="J12" s="1171" t="s">
        <v>614</v>
      </c>
      <c r="K12" s="1171" t="s">
        <v>628</v>
      </c>
      <c r="L12" s="1173" t="s">
        <v>634</v>
      </c>
      <c r="N12" s="1"/>
      <c r="O12" s="1"/>
    </row>
    <row r="13" spans="2:15" x14ac:dyDescent="0.25">
      <c r="B13" s="1170" t="s">
        <v>635</v>
      </c>
      <c r="C13" s="1171" t="s">
        <v>633</v>
      </c>
      <c r="D13" s="1172">
        <v>0</v>
      </c>
      <c r="E13" s="1172">
        <v>12500</v>
      </c>
      <c r="F13" s="1171">
        <v>0</v>
      </c>
      <c r="G13" s="1171">
        <v>0</v>
      </c>
      <c r="H13" s="1171">
        <v>0</v>
      </c>
      <c r="I13" s="1171">
        <v>0</v>
      </c>
      <c r="J13" s="1171" t="s">
        <v>614</v>
      </c>
      <c r="K13" s="1171" t="s">
        <v>628</v>
      </c>
      <c r="L13" s="1173" t="s">
        <v>634</v>
      </c>
    </row>
    <row r="14" spans="2:15" x14ac:dyDescent="0.25">
      <c r="B14" s="1170" t="s">
        <v>636</v>
      </c>
      <c r="C14" s="1171" t="s">
        <v>633</v>
      </c>
      <c r="D14" s="1172">
        <v>0</v>
      </c>
      <c r="E14" s="1172">
        <v>7300</v>
      </c>
      <c r="F14" s="1171">
        <v>0</v>
      </c>
      <c r="G14" s="1172">
        <v>0</v>
      </c>
      <c r="H14" s="1172">
        <v>0</v>
      </c>
      <c r="I14" s="1172">
        <v>0</v>
      </c>
      <c r="J14" s="1171" t="s">
        <v>614</v>
      </c>
      <c r="K14" s="1171" t="s">
        <v>628</v>
      </c>
      <c r="L14" s="1173" t="s">
        <v>634</v>
      </c>
    </row>
    <row r="15" spans="2:15" x14ac:dyDescent="0.25">
      <c r="B15" s="1170" t="s">
        <v>637</v>
      </c>
      <c r="C15" s="1171" t="s">
        <v>633</v>
      </c>
      <c r="D15" s="1172">
        <v>0</v>
      </c>
      <c r="E15" s="1172">
        <v>12500</v>
      </c>
      <c r="F15" s="1171">
        <v>0</v>
      </c>
      <c r="G15" s="1171">
        <v>0</v>
      </c>
      <c r="H15" s="1171">
        <v>0</v>
      </c>
      <c r="I15" s="1171">
        <v>0</v>
      </c>
      <c r="J15" s="1171" t="s">
        <v>614</v>
      </c>
      <c r="K15" s="1171" t="s">
        <v>628</v>
      </c>
      <c r="L15" s="1173" t="s">
        <v>634</v>
      </c>
    </row>
    <row r="16" spans="2:15" x14ac:dyDescent="0.25">
      <c r="B16" s="1174" t="s">
        <v>638</v>
      </c>
      <c r="C16" s="1174" t="s">
        <v>618</v>
      </c>
      <c r="D16" s="1175">
        <v>0</v>
      </c>
      <c r="E16" s="1175">
        <v>0</v>
      </c>
      <c r="F16" s="1175">
        <v>0</v>
      </c>
      <c r="G16" s="1175">
        <v>0</v>
      </c>
      <c r="H16" s="1174">
        <f>380*50</f>
        <v>19000</v>
      </c>
      <c r="I16" s="1175">
        <v>0</v>
      </c>
      <c r="J16" s="1175" t="s">
        <v>614</v>
      </c>
      <c r="K16" s="1175" t="s">
        <v>620</v>
      </c>
      <c r="L16" s="1174" t="s">
        <v>639</v>
      </c>
    </row>
    <row r="17" spans="2:19" x14ac:dyDescent="0.25">
      <c r="B17" s="1174" t="s">
        <v>640</v>
      </c>
      <c r="C17" s="1174" t="s">
        <v>618</v>
      </c>
      <c r="D17" s="1175">
        <v>0</v>
      </c>
      <c r="E17" s="1175">
        <v>0</v>
      </c>
      <c r="F17" s="1175">
        <v>0</v>
      </c>
      <c r="G17" s="1175">
        <v>0</v>
      </c>
      <c r="H17" s="1174">
        <f t="shared" ref="H17:H45" si="0">380*50</f>
        <v>19000</v>
      </c>
      <c r="I17" s="1175">
        <v>0</v>
      </c>
      <c r="J17" s="1175" t="s">
        <v>614</v>
      </c>
      <c r="K17" s="1175" t="s">
        <v>620</v>
      </c>
      <c r="L17" s="1174" t="s">
        <v>639</v>
      </c>
    </row>
    <row r="18" spans="2:19" x14ac:dyDescent="0.25">
      <c r="B18" s="1174" t="s">
        <v>641</v>
      </c>
      <c r="C18" s="1174" t="s">
        <v>618</v>
      </c>
      <c r="D18" s="1175">
        <v>0</v>
      </c>
      <c r="E18" s="1175">
        <v>0</v>
      </c>
      <c r="F18" s="1175">
        <v>0</v>
      </c>
      <c r="G18" s="1175">
        <v>0</v>
      </c>
      <c r="H18" s="1174">
        <f t="shared" si="0"/>
        <v>19000</v>
      </c>
      <c r="I18" s="1175">
        <v>0</v>
      </c>
      <c r="J18" s="1175" t="s">
        <v>614</v>
      </c>
      <c r="K18" s="1175" t="s">
        <v>620</v>
      </c>
      <c r="L18" s="1174" t="s">
        <v>639</v>
      </c>
      <c r="N18" s="1"/>
      <c r="O18" s="1176"/>
      <c r="P18" s="1"/>
    </row>
    <row r="19" spans="2:19" x14ac:dyDescent="0.25">
      <c r="B19" s="1174" t="s">
        <v>642</v>
      </c>
      <c r="C19" s="1174" t="s">
        <v>618</v>
      </c>
      <c r="D19" s="1175">
        <v>0</v>
      </c>
      <c r="E19" s="1175">
        <v>0</v>
      </c>
      <c r="F19" s="1175">
        <v>0</v>
      </c>
      <c r="G19" s="1175">
        <v>0</v>
      </c>
      <c r="H19" s="1174">
        <f t="shared" si="0"/>
        <v>19000</v>
      </c>
      <c r="I19" s="1175">
        <v>0</v>
      </c>
      <c r="J19" s="1175" t="s">
        <v>614</v>
      </c>
      <c r="K19" s="1175" t="s">
        <v>620</v>
      </c>
      <c r="L19" s="1174" t="s">
        <v>639</v>
      </c>
    </row>
    <row r="20" spans="2:19" x14ac:dyDescent="0.25">
      <c r="B20" s="1174" t="s">
        <v>643</v>
      </c>
      <c r="C20" s="1174" t="s">
        <v>618</v>
      </c>
      <c r="D20" s="1175">
        <v>0</v>
      </c>
      <c r="E20" s="1175">
        <v>0</v>
      </c>
      <c r="F20" s="1175">
        <v>0</v>
      </c>
      <c r="G20" s="1175">
        <v>0</v>
      </c>
      <c r="H20" s="1174">
        <f t="shared" si="0"/>
        <v>19000</v>
      </c>
      <c r="I20" s="1175">
        <v>0</v>
      </c>
      <c r="J20" s="1175" t="s">
        <v>614</v>
      </c>
      <c r="K20" s="1175" t="s">
        <v>620</v>
      </c>
      <c r="L20" s="1174" t="s">
        <v>639</v>
      </c>
    </row>
    <row r="21" spans="2:19" x14ac:dyDescent="0.25">
      <c r="B21" s="1174" t="s">
        <v>644</v>
      </c>
      <c r="C21" s="1174" t="s">
        <v>618</v>
      </c>
      <c r="D21" s="1175">
        <v>0</v>
      </c>
      <c r="E21" s="1175">
        <v>0</v>
      </c>
      <c r="F21" s="1175">
        <v>0</v>
      </c>
      <c r="G21" s="1175">
        <v>0</v>
      </c>
      <c r="H21" s="1174">
        <f t="shared" si="0"/>
        <v>19000</v>
      </c>
      <c r="I21" s="1175">
        <v>0</v>
      </c>
      <c r="J21" s="1175" t="s">
        <v>614</v>
      </c>
      <c r="K21" s="1175" t="s">
        <v>620</v>
      </c>
      <c r="L21" s="1174" t="s">
        <v>639</v>
      </c>
    </row>
    <row r="22" spans="2:19" x14ac:dyDescent="0.25">
      <c r="B22" s="1174" t="s">
        <v>645</v>
      </c>
      <c r="C22" s="1174" t="s">
        <v>618</v>
      </c>
      <c r="D22" s="1175">
        <v>0</v>
      </c>
      <c r="E22" s="1175">
        <v>0</v>
      </c>
      <c r="F22" s="1175">
        <v>0</v>
      </c>
      <c r="G22" s="1175">
        <v>0</v>
      </c>
      <c r="H22" s="1174">
        <f t="shared" si="0"/>
        <v>19000</v>
      </c>
      <c r="I22" s="1175">
        <v>0</v>
      </c>
      <c r="J22" s="1175" t="s">
        <v>614</v>
      </c>
      <c r="K22" s="1175" t="s">
        <v>620</v>
      </c>
      <c r="L22" s="1174" t="s">
        <v>639</v>
      </c>
    </row>
    <row r="23" spans="2:19" x14ac:dyDescent="0.25">
      <c r="B23" s="1174" t="s">
        <v>646</v>
      </c>
      <c r="C23" s="1174" t="s">
        <v>618</v>
      </c>
      <c r="D23" s="1175">
        <v>0</v>
      </c>
      <c r="E23" s="1175">
        <v>0</v>
      </c>
      <c r="F23" s="1175">
        <v>0</v>
      </c>
      <c r="G23" s="1175">
        <v>0</v>
      </c>
      <c r="H23" s="1174">
        <f t="shared" si="0"/>
        <v>19000</v>
      </c>
      <c r="I23" s="1175">
        <v>0</v>
      </c>
      <c r="J23" s="1175" t="s">
        <v>614</v>
      </c>
      <c r="K23" s="1175" t="s">
        <v>620</v>
      </c>
      <c r="L23" s="1174" t="s">
        <v>639</v>
      </c>
    </row>
    <row r="24" spans="2:19" x14ac:dyDescent="0.25">
      <c r="B24" s="1174" t="s">
        <v>647</v>
      </c>
      <c r="C24" s="1174" t="s">
        <v>618</v>
      </c>
      <c r="D24" s="1175">
        <v>0</v>
      </c>
      <c r="E24" s="1175">
        <v>0</v>
      </c>
      <c r="F24" s="1175">
        <v>0</v>
      </c>
      <c r="G24" s="1175">
        <v>0</v>
      </c>
      <c r="H24" s="1174">
        <f t="shared" si="0"/>
        <v>19000</v>
      </c>
      <c r="I24" s="1175">
        <v>0</v>
      </c>
      <c r="J24" s="1175" t="s">
        <v>614</v>
      </c>
      <c r="K24" s="1175" t="s">
        <v>620</v>
      </c>
      <c r="L24" s="1174" t="s">
        <v>639</v>
      </c>
    </row>
    <row r="25" spans="2:19" x14ac:dyDescent="0.25">
      <c r="B25" s="1174" t="s">
        <v>648</v>
      </c>
      <c r="C25" s="1174" t="s">
        <v>618</v>
      </c>
      <c r="D25" s="1175">
        <v>0</v>
      </c>
      <c r="E25" s="1175">
        <v>0</v>
      </c>
      <c r="F25" s="1175">
        <v>0</v>
      </c>
      <c r="G25" s="1175">
        <v>0</v>
      </c>
      <c r="H25" s="1174">
        <f t="shared" si="0"/>
        <v>19000</v>
      </c>
      <c r="I25" s="1175">
        <v>0</v>
      </c>
      <c r="J25" s="1175" t="s">
        <v>614</v>
      </c>
      <c r="K25" s="1175" t="s">
        <v>620</v>
      </c>
      <c r="L25" s="1174" t="s">
        <v>639</v>
      </c>
    </row>
    <row r="26" spans="2:19" x14ac:dyDescent="0.25">
      <c r="B26" s="1174" t="s">
        <v>649</v>
      </c>
      <c r="C26" s="1174" t="s">
        <v>618</v>
      </c>
      <c r="D26" s="1175">
        <v>0</v>
      </c>
      <c r="E26" s="1175">
        <v>0</v>
      </c>
      <c r="F26" s="1175">
        <v>0</v>
      </c>
      <c r="G26" s="1175">
        <v>0</v>
      </c>
      <c r="H26" s="1174">
        <f t="shared" si="0"/>
        <v>19000</v>
      </c>
      <c r="I26" s="1175">
        <v>0</v>
      </c>
      <c r="J26" s="1175" t="s">
        <v>614</v>
      </c>
      <c r="K26" s="1175" t="s">
        <v>620</v>
      </c>
      <c r="L26" s="1174" t="s">
        <v>639</v>
      </c>
      <c r="S26" s="1"/>
    </row>
    <row r="27" spans="2:19" x14ac:dyDescent="0.25">
      <c r="B27" s="1174" t="s">
        <v>650</v>
      </c>
      <c r="C27" s="1174" t="s">
        <v>618</v>
      </c>
      <c r="D27" s="1175">
        <v>0</v>
      </c>
      <c r="E27" s="1175">
        <v>0</v>
      </c>
      <c r="F27" s="1175">
        <v>0</v>
      </c>
      <c r="G27" s="1175">
        <v>0</v>
      </c>
      <c r="H27" s="1174">
        <f t="shared" si="0"/>
        <v>19000</v>
      </c>
      <c r="I27" s="1175">
        <v>0</v>
      </c>
      <c r="J27" s="1175" t="s">
        <v>614</v>
      </c>
      <c r="K27" s="1175" t="s">
        <v>620</v>
      </c>
      <c r="L27" s="1174" t="s">
        <v>639</v>
      </c>
      <c r="S27" s="1"/>
    </row>
    <row r="28" spans="2:19" x14ac:dyDescent="0.25">
      <c r="B28" s="1177" t="s">
        <v>651</v>
      </c>
      <c r="C28" s="1177" t="s">
        <v>618</v>
      </c>
      <c r="D28" s="1178">
        <v>0</v>
      </c>
      <c r="E28" s="1178">
        <v>0</v>
      </c>
      <c r="F28" s="1178">
        <v>0</v>
      </c>
      <c r="G28" s="1178">
        <v>0</v>
      </c>
      <c r="H28" s="1178">
        <v>0</v>
      </c>
      <c r="I28" s="1178">
        <v>16650</v>
      </c>
      <c r="J28" s="1178" t="s">
        <v>614</v>
      </c>
      <c r="K28" s="1178" t="s">
        <v>620</v>
      </c>
      <c r="L28" s="1177" t="s">
        <v>652</v>
      </c>
      <c r="S28" s="1"/>
    </row>
    <row r="29" spans="2:19" x14ac:dyDescent="0.25">
      <c r="B29" s="1177" t="s">
        <v>653</v>
      </c>
      <c r="C29" s="1177" t="s">
        <v>618</v>
      </c>
      <c r="D29" s="1178">
        <v>0</v>
      </c>
      <c r="E29" s="1178">
        <v>0</v>
      </c>
      <c r="F29" s="1178">
        <v>0</v>
      </c>
      <c r="G29" s="1178">
        <v>0</v>
      </c>
      <c r="H29" s="1178">
        <v>0</v>
      </c>
      <c r="I29" s="1178">
        <v>16650</v>
      </c>
      <c r="J29" s="1178" t="s">
        <v>614</v>
      </c>
      <c r="K29" s="1178" t="s">
        <v>620</v>
      </c>
      <c r="L29" s="1177" t="s">
        <v>652</v>
      </c>
      <c r="S29" s="1"/>
    </row>
    <row r="30" spans="2:19" x14ac:dyDescent="0.25">
      <c r="B30" s="1177" t="s">
        <v>654</v>
      </c>
      <c r="C30" s="1177" t="s">
        <v>618</v>
      </c>
      <c r="D30" s="1178">
        <v>0</v>
      </c>
      <c r="E30" s="1178">
        <v>0</v>
      </c>
      <c r="F30" s="1178">
        <v>0</v>
      </c>
      <c r="G30" s="1178">
        <v>0</v>
      </c>
      <c r="H30" s="1178">
        <v>0</v>
      </c>
      <c r="I30" s="1178">
        <v>16650</v>
      </c>
      <c r="J30" s="1178" t="s">
        <v>614</v>
      </c>
      <c r="K30" s="1178" t="s">
        <v>620</v>
      </c>
      <c r="L30" s="1177" t="s">
        <v>652</v>
      </c>
    </row>
    <row r="31" spans="2:19" x14ac:dyDescent="0.25">
      <c r="B31" s="1177" t="s">
        <v>655</v>
      </c>
      <c r="C31" s="1177" t="s">
        <v>618</v>
      </c>
      <c r="D31" s="1178">
        <v>0</v>
      </c>
      <c r="E31" s="1178">
        <v>0</v>
      </c>
      <c r="F31" s="1178">
        <v>0</v>
      </c>
      <c r="G31" s="1178">
        <v>0</v>
      </c>
      <c r="H31" s="1178">
        <v>0</v>
      </c>
      <c r="I31" s="1178">
        <v>16700</v>
      </c>
      <c r="J31" s="1178" t="s">
        <v>614</v>
      </c>
      <c r="K31" s="1178" t="s">
        <v>620</v>
      </c>
      <c r="L31" s="1177" t="s">
        <v>652</v>
      </c>
    </row>
    <row r="32" spans="2:19" x14ac:dyDescent="0.25">
      <c r="B32" s="1177" t="s">
        <v>656</v>
      </c>
      <c r="C32" s="1177" t="s">
        <v>618</v>
      </c>
      <c r="D32" s="1178">
        <v>0</v>
      </c>
      <c r="E32" s="1178">
        <v>0</v>
      </c>
      <c r="F32" s="1178">
        <v>0</v>
      </c>
      <c r="G32" s="1178">
        <v>0</v>
      </c>
      <c r="H32" s="1178">
        <v>0</v>
      </c>
      <c r="I32" s="1178">
        <v>16700</v>
      </c>
      <c r="J32" s="1178" t="s">
        <v>614</v>
      </c>
      <c r="K32" s="1178" t="s">
        <v>620</v>
      </c>
      <c r="L32" s="1177" t="s">
        <v>652</v>
      </c>
    </row>
    <row r="33" spans="2:16" x14ac:dyDescent="0.25">
      <c r="B33" s="1177" t="s">
        <v>657</v>
      </c>
      <c r="C33" s="1177" t="s">
        <v>618</v>
      </c>
      <c r="D33" s="1178">
        <v>0</v>
      </c>
      <c r="E33" s="1178">
        <v>0</v>
      </c>
      <c r="F33" s="1178">
        <v>0</v>
      </c>
      <c r="G33" s="1178">
        <v>0</v>
      </c>
      <c r="H33" s="1178">
        <v>0</v>
      </c>
      <c r="I33" s="1178">
        <v>16700</v>
      </c>
      <c r="J33" s="1178" t="s">
        <v>614</v>
      </c>
      <c r="K33" s="1178" t="s">
        <v>620</v>
      </c>
      <c r="L33" s="1177" t="s">
        <v>652</v>
      </c>
    </row>
    <row r="34" spans="2:16" x14ac:dyDescent="0.25">
      <c r="B34" s="1179" t="s">
        <v>658</v>
      </c>
      <c r="C34" s="1179" t="s">
        <v>618</v>
      </c>
      <c r="D34" s="1180">
        <v>0</v>
      </c>
      <c r="E34" s="1180">
        <v>0</v>
      </c>
      <c r="F34" s="1180">
        <v>0</v>
      </c>
      <c r="G34" s="1180">
        <v>0</v>
      </c>
      <c r="H34" s="1179">
        <f t="shared" si="0"/>
        <v>19000</v>
      </c>
      <c r="I34" s="1180">
        <v>0</v>
      </c>
      <c r="J34" s="1180" t="s">
        <v>614</v>
      </c>
      <c r="K34" s="1180" t="s">
        <v>659</v>
      </c>
      <c r="L34" s="1179" t="s">
        <v>660</v>
      </c>
    </row>
    <row r="35" spans="2:16" x14ac:dyDescent="0.25">
      <c r="B35" s="1179" t="s">
        <v>661</v>
      </c>
      <c r="C35" s="1179" t="s">
        <v>618</v>
      </c>
      <c r="D35" s="1180">
        <v>0</v>
      </c>
      <c r="E35" s="1180">
        <v>0</v>
      </c>
      <c r="F35" s="1180">
        <v>0</v>
      </c>
      <c r="G35" s="1180">
        <v>0</v>
      </c>
      <c r="H35" s="1179">
        <f t="shared" si="0"/>
        <v>19000</v>
      </c>
      <c r="I35" s="1180">
        <v>0</v>
      </c>
      <c r="J35" s="1180" t="s">
        <v>614</v>
      </c>
      <c r="K35" s="1180" t="s">
        <v>659</v>
      </c>
      <c r="L35" s="1179" t="s">
        <v>660</v>
      </c>
    </row>
    <row r="36" spans="2:16" x14ac:dyDescent="0.25">
      <c r="B36" s="1179" t="s">
        <v>662</v>
      </c>
      <c r="C36" s="1179" t="s">
        <v>618</v>
      </c>
      <c r="D36" s="1180">
        <v>0</v>
      </c>
      <c r="E36" s="1180">
        <v>0</v>
      </c>
      <c r="F36" s="1180">
        <v>0</v>
      </c>
      <c r="G36" s="1180">
        <v>0</v>
      </c>
      <c r="H36" s="1179">
        <f t="shared" si="0"/>
        <v>19000</v>
      </c>
      <c r="I36" s="1180">
        <v>0</v>
      </c>
      <c r="J36" s="1180" t="s">
        <v>614</v>
      </c>
      <c r="K36" s="1180" t="s">
        <v>659</v>
      </c>
      <c r="L36" s="1179" t="s">
        <v>660</v>
      </c>
      <c r="O36" s="1"/>
      <c r="P36" s="1"/>
    </row>
    <row r="37" spans="2:16" x14ac:dyDescent="0.25">
      <c r="B37" s="1179" t="s">
        <v>663</v>
      </c>
      <c r="C37" s="1179" t="s">
        <v>618</v>
      </c>
      <c r="D37" s="1180">
        <v>0</v>
      </c>
      <c r="E37" s="1180">
        <v>0</v>
      </c>
      <c r="F37" s="1180">
        <v>0</v>
      </c>
      <c r="G37" s="1180">
        <v>0</v>
      </c>
      <c r="H37" s="1179">
        <f t="shared" si="0"/>
        <v>19000</v>
      </c>
      <c r="I37" s="1180">
        <v>0</v>
      </c>
      <c r="J37" s="1180" t="s">
        <v>614</v>
      </c>
      <c r="K37" s="1180" t="s">
        <v>659</v>
      </c>
      <c r="L37" s="1179" t="s">
        <v>660</v>
      </c>
    </row>
    <row r="38" spans="2:16" x14ac:dyDescent="0.25">
      <c r="B38" s="1179" t="s">
        <v>664</v>
      </c>
      <c r="C38" s="1179" t="s">
        <v>618</v>
      </c>
      <c r="D38" s="1180">
        <v>0</v>
      </c>
      <c r="E38" s="1180">
        <v>0</v>
      </c>
      <c r="F38" s="1180">
        <v>0</v>
      </c>
      <c r="G38" s="1180">
        <v>0</v>
      </c>
      <c r="H38" s="1179">
        <f t="shared" si="0"/>
        <v>19000</v>
      </c>
      <c r="I38" s="1180">
        <v>0</v>
      </c>
      <c r="J38" s="1180" t="s">
        <v>614</v>
      </c>
      <c r="K38" s="1180" t="s">
        <v>659</v>
      </c>
      <c r="L38" s="1179" t="s">
        <v>660</v>
      </c>
    </row>
    <row r="39" spans="2:16" x14ac:dyDescent="0.25">
      <c r="B39" s="1179" t="s">
        <v>665</v>
      </c>
      <c r="C39" s="1179" t="s">
        <v>618</v>
      </c>
      <c r="D39" s="1180">
        <v>0</v>
      </c>
      <c r="E39" s="1180">
        <v>0</v>
      </c>
      <c r="F39" s="1180">
        <v>0</v>
      </c>
      <c r="G39" s="1180">
        <v>0</v>
      </c>
      <c r="H39" s="1179">
        <f t="shared" si="0"/>
        <v>19000</v>
      </c>
      <c r="I39" s="1180">
        <v>0</v>
      </c>
      <c r="J39" s="1180" t="s">
        <v>614</v>
      </c>
      <c r="K39" s="1180" t="s">
        <v>659</v>
      </c>
      <c r="L39" s="1179" t="s">
        <v>660</v>
      </c>
    </row>
    <row r="40" spans="2:16" x14ac:dyDescent="0.25">
      <c r="B40" s="1179" t="s">
        <v>666</v>
      </c>
      <c r="C40" s="1179" t="s">
        <v>618</v>
      </c>
      <c r="D40" s="1180">
        <v>0</v>
      </c>
      <c r="E40" s="1180">
        <v>0</v>
      </c>
      <c r="F40" s="1180">
        <v>0</v>
      </c>
      <c r="G40" s="1180">
        <v>0</v>
      </c>
      <c r="H40" s="1179">
        <f t="shared" si="0"/>
        <v>19000</v>
      </c>
      <c r="I40" s="1180">
        <v>0</v>
      </c>
      <c r="J40" s="1180" t="s">
        <v>614</v>
      </c>
      <c r="K40" s="1180" t="s">
        <v>659</v>
      </c>
      <c r="L40" s="1179" t="s">
        <v>660</v>
      </c>
    </row>
    <row r="41" spans="2:16" x14ac:dyDescent="0.25">
      <c r="B41" s="1179" t="s">
        <v>667</v>
      </c>
      <c r="C41" s="1179" t="s">
        <v>618</v>
      </c>
      <c r="D41" s="1180">
        <v>0</v>
      </c>
      <c r="E41" s="1180">
        <v>0</v>
      </c>
      <c r="F41" s="1180">
        <v>0</v>
      </c>
      <c r="G41" s="1180">
        <v>0</v>
      </c>
      <c r="H41" s="1179">
        <f t="shared" si="0"/>
        <v>19000</v>
      </c>
      <c r="I41" s="1180">
        <v>0</v>
      </c>
      <c r="J41" s="1180" t="s">
        <v>614</v>
      </c>
      <c r="K41" s="1180" t="s">
        <v>659</v>
      </c>
      <c r="L41" s="1179" t="s">
        <v>660</v>
      </c>
    </row>
    <row r="42" spans="2:16" x14ac:dyDescent="0.25">
      <c r="B42" s="1179" t="s">
        <v>667</v>
      </c>
      <c r="C42" s="1179" t="s">
        <v>618</v>
      </c>
      <c r="D42" s="1180">
        <v>0</v>
      </c>
      <c r="E42" s="1180">
        <v>0</v>
      </c>
      <c r="F42" s="1180">
        <v>0</v>
      </c>
      <c r="G42" s="1180">
        <v>0</v>
      </c>
      <c r="H42" s="1179">
        <f t="shared" si="0"/>
        <v>19000</v>
      </c>
      <c r="I42" s="1180">
        <v>0</v>
      </c>
      <c r="J42" s="1180" t="s">
        <v>614</v>
      </c>
      <c r="K42" s="1180" t="s">
        <v>659</v>
      </c>
      <c r="L42" s="1179" t="s">
        <v>660</v>
      </c>
    </row>
    <row r="43" spans="2:16" x14ac:dyDescent="0.25">
      <c r="B43" s="1179" t="s">
        <v>668</v>
      </c>
      <c r="C43" s="1179" t="s">
        <v>618</v>
      </c>
      <c r="D43" s="1180">
        <v>0</v>
      </c>
      <c r="E43" s="1180">
        <v>0</v>
      </c>
      <c r="F43" s="1180">
        <v>0</v>
      </c>
      <c r="G43" s="1180">
        <v>0</v>
      </c>
      <c r="H43" s="1179">
        <f t="shared" si="0"/>
        <v>19000</v>
      </c>
      <c r="I43" s="1180">
        <v>0</v>
      </c>
      <c r="J43" s="1180" t="s">
        <v>614</v>
      </c>
      <c r="K43" s="1180" t="s">
        <v>659</v>
      </c>
      <c r="L43" s="1179" t="s">
        <v>660</v>
      </c>
    </row>
    <row r="44" spans="2:16" x14ac:dyDescent="0.25">
      <c r="B44" s="1179" t="s">
        <v>669</v>
      </c>
      <c r="C44" s="1179" t="s">
        <v>618</v>
      </c>
      <c r="D44" s="1180">
        <v>0</v>
      </c>
      <c r="E44" s="1180">
        <v>0</v>
      </c>
      <c r="F44" s="1180">
        <v>0</v>
      </c>
      <c r="G44" s="1180">
        <v>0</v>
      </c>
      <c r="H44" s="1179">
        <f t="shared" si="0"/>
        <v>19000</v>
      </c>
      <c r="I44" s="1180">
        <v>0</v>
      </c>
      <c r="J44" s="1180" t="s">
        <v>614</v>
      </c>
      <c r="K44" s="1180" t="s">
        <v>659</v>
      </c>
      <c r="L44" s="1179" t="s">
        <v>660</v>
      </c>
    </row>
    <row r="45" spans="2:16" x14ac:dyDescent="0.25">
      <c r="B45" s="1179" t="s">
        <v>670</v>
      </c>
      <c r="C45" s="1179" t="s">
        <v>618</v>
      </c>
      <c r="D45" s="1180">
        <v>0</v>
      </c>
      <c r="E45" s="1180">
        <v>0</v>
      </c>
      <c r="F45" s="1180">
        <v>0</v>
      </c>
      <c r="G45" s="1180">
        <v>0</v>
      </c>
      <c r="H45" s="1179">
        <f t="shared" si="0"/>
        <v>19000</v>
      </c>
      <c r="I45" s="1180">
        <v>0</v>
      </c>
      <c r="J45" s="1180" t="s">
        <v>614</v>
      </c>
      <c r="K45" s="1180" t="s">
        <v>659</v>
      </c>
      <c r="L45" s="1179" t="s">
        <v>660</v>
      </c>
    </row>
    <row r="46" spans="2:16" ht="15.75" x14ac:dyDescent="0.25">
      <c r="B46" s="1181" t="s">
        <v>671</v>
      </c>
      <c r="C46" s="1182" t="s">
        <v>618</v>
      </c>
      <c r="D46" s="1183">
        <v>0</v>
      </c>
      <c r="E46" s="1183">
        <v>0</v>
      </c>
      <c r="F46" s="1183">
        <v>0</v>
      </c>
      <c r="G46" s="1182">
        <v>0</v>
      </c>
      <c r="H46" s="1183">
        <v>0</v>
      </c>
      <c r="I46" s="1183">
        <v>12500</v>
      </c>
      <c r="J46" s="1182" t="s">
        <v>614</v>
      </c>
      <c r="K46" s="1182" t="s">
        <v>628</v>
      </c>
      <c r="L46" s="1184" t="s">
        <v>672</v>
      </c>
    </row>
    <row r="47" spans="2:16" ht="15.75" x14ac:dyDescent="0.25">
      <c r="B47" s="1181" t="s">
        <v>673</v>
      </c>
      <c r="C47" s="1182" t="s">
        <v>618</v>
      </c>
      <c r="D47" s="1183">
        <v>0</v>
      </c>
      <c r="E47" s="1183">
        <v>0</v>
      </c>
      <c r="F47" s="1183">
        <v>0</v>
      </c>
      <c r="G47" s="1182">
        <v>0</v>
      </c>
      <c r="H47" s="1183">
        <v>0</v>
      </c>
      <c r="I47" s="1183">
        <v>12500</v>
      </c>
      <c r="J47" s="1182" t="s">
        <v>614</v>
      </c>
      <c r="K47" s="1182" t="s">
        <v>628</v>
      </c>
      <c r="L47" s="1184" t="s">
        <v>672</v>
      </c>
    </row>
    <row r="48" spans="2:16" x14ac:dyDescent="0.25">
      <c r="B48" s="1174" t="s">
        <v>674</v>
      </c>
      <c r="C48" s="1174" t="s">
        <v>618</v>
      </c>
      <c r="D48" s="1175">
        <v>0</v>
      </c>
      <c r="E48" s="1175">
        <v>0</v>
      </c>
      <c r="F48" s="1175">
        <v>0</v>
      </c>
      <c r="G48" s="1175">
        <v>0</v>
      </c>
      <c r="H48" s="1174">
        <f t="shared" ref="H48:H58" si="1">380*50</f>
        <v>19000</v>
      </c>
      <c r="I48" s="1175">
        <v>0</v>
      </c>
      <c r="J48" s="1175" t="s">
        <v>619</v>
      </c>
      <c r="K48" s="1175" t="s">
        <v>659</v>
      </c>
      <c r="L48" s="1174" t="s">
        <v>675</v>
      </c>
    </row>
    <row r="49" spans="2:12" x14ac:dyDescent="0.25">
      <c r="B49" s="1174" t="s">
        <v>676</v>
      </c>
      <c r="C49" s="1174" t="s">
        <v>618</v>
      </c>
      <c r="D49" s="1175">
        <v>0</v>
      </c>
      <c r="E49" s="1175">
        <v>0</v>
      </c>
      <c r="F49" s="1175">
        <v>0</v>
      </c>
      <c r="G49" s="1175">
        <v>0</v>
      </c>
      <c r="H49" s="1174">
        <f t="shared" si="1"/>
        <v>19000</v>
      </c>
      <c r="I49" s="1175">
        <v>0</v>
      </c>
      <c r="J49" s="1175" t="s">
        <v>619</v>
      </c>
      <c r="K49" s="1175" t="s">
        <v>659</v>
      </c>
      <c r="L49" s="1174" t="s">
        <v>675</v>
      </c>
    </row>
    <row r="50" spans="2:12" x14ac:dyDescent="0.25">
      <c r="B50" s="1174" t="s">
        <v>677</v>
      </c>
      <c r="C50" s="1174" t="s">
        <v>618</v>
      </c>
      <c r="D50" s="1175">
        <v>0</v>
      </c>
      <c r="E50" s="1175">
        <v>0</v>
      </c>
      <c r="F50" s="1175">
        <v>0</v>
      </c>
      <c r="G50" s="1175">
        <v>0</v>
      </c>
      <c r="H50" s="1174">
        <f t="shared" si="1"/>
        <v>19000</v>
      </c>
      <c r="I50" s="1175">
        <v>0</v>
      </c>
      <c r="J50" s="1175" t="s">
        <v>619</v>
      </c>
      <c r="K50" s="1175" t="s">
        <v>659</v>
      </c>
      <c r="L50" s="1174" t="s">
        <v>675</v>
      </c>
    </row>
    <row r="51" spans="2:12" x14ac:dyDescent="0.25">
      <c r="B51" s="1174" t="s">
        <v>678</v>
      </c>
      <c r="C51" s="1174" t="s">
        <v>618</v>
      </c>
      <c r="D51" s="1175">
        <v>0</v>
      </c>
      <c r="E51" s="1175">
        <v>0</v>
      </c>
      <c r="F51" s="1175">
        <v>0</v>
      </c>
      <c r="G51" s="1175">
        <v>0</v>
      </c>
      <c r="H51" s="1174">
        <f t="shared" si="1"/>
        <v>19000</v>
      </c>
      <c r="I51" s="1175">
        <v>0</v>
      </c>
      <c r="J51" s="1175" t="s">
        <v>619</v>
      </c>
      <c r="K51" s="1175" t="s">
        <v>659</v>
      </c>
      <c r="L51" s="1174" t="s">
        <v>675</v>
      </c>
    </row>
    <row r="52" spans="2:12" x14ac:dyDescent="0.25">
      <c r="B52" s="1174" t="s">
        <v>679</v>
      </c>
      <c r="C52" s="1174" t="s">
        <v>618</v>
      </c>
      <c r="D52" s="1175">
        <v>0</v>
      </c>
      <c r="E52" s="1175">
        <v>0</v>
      </c>
      <c r="F52" s="1175">
        <v>0</v>
      </c>
      <c r="G52" s="1175">
        <v>0</v>
      </c>
      <c r="H52" s="1174">
        <f t="shared" si="1"/>
        <v>19000</v>
      </c>
      <c r="I52" s="1175">
        <v>0</v>
      </c>
      <c r="J52" s="1175" t="s">
        <v>619</v>
      </c>
      <c r="K52" s="1175" t="s">
        <v>659</v>
      </c>
      <c r="L52" s="1174" t="s">
        <v>675</v>
      </c>
    </row>
    <row r="53" spans="2:12" x14ac:dyDescent="0.25">
      <c r="B53" s="1174" t="s">
        <v>680</v>
      </c>
      <c r="C53" s="1174" t="s">
        <v>618</v>
      </c>
      <c r="D53" s="1175">
        <v>0</v>
      </c>
      <c r="E53" s="1175">
        <v>0</v>
      </c>
      <c r="F53" s="1175">
        <v>0</v>
      </c>
      <c r="G53" s="1175">
        <v>0</v>
      </c>
      <c r="H53" s="1174">
        <f t="shared" si="1"/>
        <v>19000</v>
      </c>
      <c r="I53" s="1175">
        <v>0</v>
      </c>
      <c r="J53" s="1175" t="s">
        <v>619</v>
      </c>
      <c r="K53" s="1175" t="s">
        <v>659</v>
      </c>
      <c r="L53" s="1174" t="s">
        <v>675</v>
      </c>
    </row>
    <row r="54" spans="2:12" x14ac:dyDescent="0.25">
      <c r="B54" s="1174" t="s">
        <v>681</v>
      </c>
      <c r="C54" s="1174" t="s">
        <v>618</v>
      </c>
      <c r="D54" s="1175">
        <v>0</v>
      </c>
      <c r="E54" s="1175">
        <v>0</v>
      </c>
      <c r="F54" s="1175">
        <v>0</v>
      </c>
      <c r="G54" s="1175">
        <v>0</v>
      </c>
      <c r="H54" s="1174">
        <f t="shared" si="1"/>
        <v>19000</v>
      </c>
      <c r="I54" s="1175">
        <v>0</v>
      </c>
      <c r="J54" s="1175" t="s">
        <v>619</v>
      </c>
      <c r="K54" s="1175" t="s">
        <v>659</v>
      </c>
      <c r="L54" s="1174" t="s">
        <v>675</v>
      </c>
    </row>
    <row r="55" spans="2:12" x14ac:dyDescent="0.25">
      <c r="B55" s="1174" t="s">
        <v>682</v>
      </c>
      <c r="C55" s="1174" t="s">
        <v>618</v>
      </c>
      <c r="D55" s="1175">
        <v>0</v>
      </c>
      <c r="E55" s="1175">
        <v>0</v>
      </c>
      <c r="F55" s="1175">
        <v>0</v>
      </c>
      <c r="G55" s="1175">
        <v>0</v>
      </c>
      <c r="H55" s="1174">
        <f t="shared" si="1"/>
        <v>19000</v>
      </c>
      <c r="I55" s="1175">
        <v>0</v>
      </c>
      <c r="J55" s="1175" t="s">
        <v>619</v>
      </c>
      <c r="K55" s="1175" t="s">
        <v>659</v>
      </c>
      <c r="L55" s="1174" t="s">
        <v>675</v>
      </c>
    </row>
    <row r="56" spans="2:12" x14ac:dyDescent="0.25">
      <c r="B56" s="1174" t="s">
        <v>683</v>
      </c>
      <c r="C56" s="1174" t="s">
        <v>618</v>
      </c>
      <c r="D56" s="1175">
        <v>0</v>
      </c>
      <c r="E56" s="1175">
        <v>0</v>
      </c>
      <c r="F56" s="1175">
        <v>0</v>
      </c>
      <c r="G56" s="1175">
        <v>0</v>
      </c>
      <c r="H56" s="1174">
        <f t="shared" si="1"/>
        <v>19000</v>
      </c>
      <c r="I56" s="1175">
        <v>0</v>
      </c>
      <c r="J56" s="1175" t="s">
        <v>619</v>
      </c>
      <c r="K56" s="1175" t="s">
        <v>659</v>
      </c>
      <c r="L56" s="1174" t="s">
        <v>675</v>
      </c>
    </row>
    <row r="57" spans="2:12" x14ac:dyDescent="0.25">
      <c r="B57" s="1174" t="s">
        <v>684</v>
      </c>
      <c r="C57" s="1174" t="s">
        <v>618</v>
      </c>
      <c r="D57" s="1175">
        <v>0</v>
      </c>
      <c r="E57" s="1175">
        <v>0</v>
      </c>
      <c r="F57" s="1175">
        <v>0</v>
      </c>
      <c r="G57" s="1175">
        <v>0</v>
      </c>
      <c r="H57" s="1174">
        <f t="shared" si="1"/>
        <v>19000</v>
      </c>
      <c r="I57" s="1175">
        <v>0</v>
      </c>
      <c r="J57" s="1175" t="s">
        <v>619</v>
      </c>
      <c r="K57" s="1175" t="s">
        <v>659</v>
      </c>
      <c r="L57" s="1174" t="s">
        <v>675</v>
      </c>
    </row>
    <row r="58" spans="2:12" x14ac:dyDescent="0.25">
      <c r="B58" s="1174" t="s">
        <v>685</v>
      </c>
      <c r="C58" s="1174" t="s">
        <v>618</v>
      </c>
      <c r="D58" s="1175">
        <v>0</v>
      </c>
      <c r="E58" s="1175">
        <v>0</v>
      </c>
      <c r="F58" s="1175">
        <v>0</v>
      </c>
      <c r="G58" s="1175">
        <v>0</v>
      </c>
      <c r="H58" s="1174">
        <f t="shared" si="1"/>
        <v>19000</v>
      </c>
      <c r="I58" s="1175">
        <v>0</v>
      </c>
      <c r="J58" s="1175" t="s">
        <v>619</v>
      </c>
      <c r="K58" s="1175" t="s">
        <v>659</v>
      </c>
      <c r="L58" s="1174" t="s">
        <v>675</v>
      </c>
    </row>
    <row r="59" spans="2:12" x14ac:dyDescent="0.25">
      <c r="B59" s="1174" t="s">
        <v>24</v>
      </c>
      <c r="C59" s="1174"/>
      <c r="D59" s="1185">
        <f>SUM(D3:D33)</f>
        <v>11100</v>
      </c>
      <c r="E59" s="1185">
        <v>39300</v>
      </c>
      <c r="F59" s="1185">
        <v>9240</v>
      </c>
      <c r="G59" s="1174">
        <f>SUM(G4:G33)</f>
        <v>56350</v>
      </c>
      <c r="H59" s="1185">
        <f>SUM(H3:H58)</f>
        <v>665000</v>
      </c>
      <c r="I59" s="1185">
        <v>125050</v>
      </c>
      <c r="J59" s="1175"/>
      <c r="K59" s="1175"/>
      <c r="L59" s="1174"/>
    </row>
    <row r="61" spans="2:12" ht="45" x14ac:dyDescent="0.25">
      <c r="B61" s="1186" t="s">
        <v>686</v>
      </c>
      <c r="C61" s="1187" t="s">
        <v>687</v>
      </c>
      <c r="D61" s="1188" t="s">
        <v>688</v>
      </c>
      <c r="E61" s="1188" t="s">
        <v>689</v>
      </c>
      <c r="F61" s="1188" t="s">
        <v>690</v>
      </c>
      <c r="G61" s="1188" t="s">
        <v>691</v>
      </c>
    </row>
    <row r="62" spans="2:12" x14ac:dyDescent="0.25">
      <c r="B62" s="1189" t="s">
        <v>628</v>
      </c>
      <c r="C62" s="1190">
        <v>9240</v>
      </c>
      <c r="D62" s="1191">
        <v>0</v>
      </c>
      <c r="E62" s="1191">
        <v>39300</v>
      </c>
      <c r="F62" s="1191">
        <v>25000</v>
      </c>
      <c r="G62" s="1191">
        <v>11100</v>
      </c>
    </row>
    <row r="63" spans="2:12" x14ac:dyDescent="0.25">
      <c r="B63" s="1189" t="s">
        <v>692</v>
      </c>
      <c r="C63" s="1190">
        <v>56350</v>
      </c>
      <c r="D63" s="1191">
        <v>665000</v>
      </c>
      <c r="E63" s="1192">
        <v>0</v>
      </c>
      <c r="F63" s="1191">
        <v>100050</v>
      </c>
      <c r="G63" s="1192">
        <v>0</v>
      </c>
    </row>
    <row r="64" spans="2:12" x14ac:dyDescent="0.25">
      <c r="B64" s="1193" t="s">
        <v>693</v>
      </c>
      <c r="C64" s="1194">
        <f>SUM(C62:C63)</f>
        <v>65590</v>
      </c>
      <c r="D64" s="1195">
        <f>SUM(D62:D63)</f>
        <v>665000</v>
      </c>
      <c r="E64" s="1195">
        <f>SUM(E62:E63)</f>
        <v>39300</v>
      </c>
      <c r="F64" s="1195">
        <f>SUM(F62:F63)</f>
        <v>125050</v>
      </c>
      <c r="G64" s="1195">
        <f>SUM(G62:G63)</f>
        <v>11100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SUMMARY STOCK UPDATE</vt:lpstr>
      <vt:lpstr>ACT-RDT-PQ BY AMS</vt:lpstr>
      <vt:lpstr> Other A.M.Drugs BY AMS</vt:lpstr>
      <vt:lpstr>RAM-GF_PROC.-2021 REQ.ACT-RDT</vt:lpstr>
      <vt:lpstr>NDoH Outstanding Orders</vt:lpstr>
      <vt:lpstr>EXP.DATES For ACT-RDT-PQ</vt:lpstr>
      <vt:lpstr>Table of Summary</vt:lpstr>
      <vt:lpstr>LLIN SOH</vt:lpstr>
      <vt:lpstr>' Other A.M.Drugs BY AMS'!Print_Area</vt:lpstr>
      <vt:lpstr>'ACT-RDT-PQ BY AMS'!Print_Area</vt:lpstr>
      <vt:lpstr>'NDoH Outstanding Orders'!Print_Area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Bozu</dc:creator>
  <cp:lastModifiedBy>Dianah Yando</cp:lastModifiedBy>
  <cp:lastPrinted>2024-07-03T06:04:40Z</cp:lastPrinted>
  <dcterms:created xsi:type="dcterms:W3CDTF">2019-02-21T23:24:40Z</dcterms:created>
  <dcterms:modified xsi:type="dcterms:W3CDTF">2025-11-03T05:56:42Z</dcterms:modified>
</cp:coreProperties>
</file>