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23\Logistics\Logistics\STOCK UPDATE REPORT - BI-WEEKLY\2026 BI-WEEKLY STOCK REPORT\"/>
    </mc:Choice>
  </mc:AlternateContent>
  <bookViews>
    <workbookView xWindow="0" yWindow="0" windowWidth="20490" windowHeight="7350" activeTab="1"/>
  </bookViews>
  <sheets>
    <sheet name="SUMMARY STOCK UPDATE" sheetId="9" r:id="rId1"/>
    <sheet name="ACT-RDT-PQ BY AMS" sheetId="2" r:id="rId2"/>
    <sheet name=" Other A.M.Drugs BY AMS" sheetId="8" r:id="rId3"/>
    <sheet name="RAM-GF_PROC.-2021 REQ.ACT-RDT" sheetId="12" r:id="rId4"/>
    <sheet name="NDoH Outstanding Orders" sheetId="14" r:id="rId5"/>
    <sheet name="EXP.DATES For ACT-RDT-PQ" sheetId="10" r:id="rId6"/>
    <sheet name="Table of Summary" sheetId="16" r:id="rId7"/>
    <sheet name="LLIN SOH" sheetId="17" r:id="rId8"/>
  </sheets>
  <definedNames>
    <definedName name="_xlnm.Print_Area" localSheetId="2">' Other A.M.Drugs BY AMS'!$A$1:$AD$13</definedName>
    <definedName name="_xlnm.Print_Area" localSheetId="1">'ACT-RDT-PQ BY AMS'!$A$1:$AC$53</definedName>
    <definedName name="_xlnm.Print_Area" localSheetId="4">'NDoH Outstanding Orders'!#REF!</definedName>
    <definedName name="_xlnm.Print_Area" localSheetId="0">'SUMMARY STOCK UPDATE'!$A$1:$N$35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G12" i="2"/>
  <c r="F11" i="2"/>
  <c r="D11" i="2"/>
  <c r="C11" i="2"/>
  <c r="E5" i="2"/>
  <c r="B5" i="2"/>
  <c r="E102" i="14" l="1"/>
  <c r="H101" i="14"/>
  <c r="K101" i="14"/>
  <c r="F101" i="14"/>
  <c r="K80" i="14"/>
  <c r="H80" i="14"/>
  <c r="E80" i="14"/>
  <c r="H62" i="14"/>
  <c r="K62" i="14"/>
  <c r="E62" i="14"/>
  <c r="H46" i="14"/>
  <c r="E46" i="14"/>
  <c r="K46" i="14"/>
  <c r="K26" i="14"/>
  <c r="E26" i="14"/>
  <c r="AL72" i="14"/>
  <c r="AL70" i="14"/>
  <c r="AD23" i="8"/>
  <c r="AC23" i="8"/>
  <c r="AB23" i="8"/>
  <c r="AA23" i="8"/>
  <c r="Z23" i="8"/>
  <c r="Y23" i="8"/>
  <c r="X23" i="8"/>
  <c r="AD22" i="8"/>
  <c r="AC22" i="8"/>
  <c r="AB22" i="8"/>
  <c r="AA22" i="8"/>
  <c r="Z22" i="8"/>
  <c r="Y22" i="8"/>
  <c r="X22" i="8"/>
  <c r="AD21" i="8"/>
  <c r="AC21" i="8"/>
  <c r="AB21" i="8"/>
  <c r="AA21" i="8"/>
  <c r="Z21" i="8"/>
  <c r="Y21" i="8"/>
  <c r="X21" i="8"/>
  <c r="AD20" i="8"/>
  <c r="AC20" i="8"/>
  <c r="AB20" i="8"/>
  <c r="AA20" i="8"/>
  <c r="Z20" i="8"/>
  <c r="Y20" i="8"/>
  <c r="X20" i="8"/>
  <c r="AD19" i="8"/>
  <c r="AC19" i="8"/>
  <c r="AB19" i="8"/>
  <c r="AA19" i="8"/>
  <c r="Z19" i="8"/>
  <c r="Y19" i="8"/>
  <c r="X19" i="8"/>
  <c r="I26" i="8"/>
  <c r="H26" i="8"/>
  <c r="G26" i="8"/>
  <c r="E26" i="8"/>
  <c r="C26" i="8"/>
  <c r="B26" i="8"/>
  <c r="J24" i="8"/>
  <c r="J26" i="8" s="1"/>
  <c r="G24" i="8"/>
  <c r="E24" i="8"/>
  <c r="D24" i="8"/>
  <c r="D26" i="8" s="1"/>
  <c r="C24" i="8"/>
  <c r="B24" i="8"/>
  <c r="F21" i="8"/>
  <c r="F24" i="8" s="1"/>
  <c r="F26" i="8" s="1"/>
  <c r="Z35" i="2"/>
  <c r="Y35" i="2"/>
  <c r="X35" i="2"/>
  <c r="W35" i="2"/>
  <c r="V35" i="2"/>
  <c r="U35" i="2"/>
  <c r="T35" i="2"/>
  <c r="Z34" i="2"/>
  <c r="Y34" i="2"/>
  <c r="X34" i="2"/>
  <c r="W34" i="2"/>
  <c r="V34" i="2"/>
  <c r="U34" i="2"/>
  <c r="T34" i="2"/>
  <c r="Z33" i="2"/>
  <c r="Y33" i="2"/>
  <c r="X33" i="2"/>
  <c r="W33" i="2"/>
  <c r="V33" i="2"/>
  <c r="U33" i="2"/>
  <c r="T33" i="2"/>
  <c r="Y32" i="2"/>
  <c r="X32" i="2"/>
  <c r="W32" i="2"/>
  <c r="V32" i="2"/>
  <c r="U32" i="2"/>
  <c r="T32" i="2"/>
  <c r="Z31" i="2"/>
  <c r="Y31" i="2"/>
  <c r="X31" i="2"/>
  <c r="W31" i="2"/>
  <c r="V31" i="2"/>
  <c r="U31" i="2"/>
  <c r="T31" i="2"/>
  <c r="Z30" i="2"/>
  <c r="Y30" i="2"/>
  <c r="X30" i="2"/>
  <c r="W30" i="2"/>
  <c r="V30" i="2"/>
  <c r="U30" i="2"/>
  <c r="T30" i="2"/>
  <c r="Z29" i="2"/>
  <c r="Y29" i="2"/>
  <c r="X29" i="2"/>
  <c r="W29" i="2"/>
  <c r="V29" i="2"/>
  <c r="U29" i="2"/>
  <c r="T29" i="2"/>
  <c r="G35" i="2"/>
  <c r="H33" i="2"/>
  <c r="E33" i="2"/>
  <c r="C33" i="2"/>
  <c r="G33" i="2" s="1"/>
  <c r="B33" i="2"/>
  <c r="H32" i="2"/>
  <c r="D32" i="2"/>
  <c r="C32" i="2"/>
  <c r="G32" i="2" s="1"/>
  <c r="B32" i="2"/>
  <c r="E31" i="2"/>
  <c r="D31" i="2"/>
  <c r="G31" i="2" s="1"/>
  <c r="C31" i="2"/>
  <c r="B31" i="2"/>
  <c r="H30" i="2"/>
  <c r="H34" i="2" s="1"/>
  <c r="H36" i="2" s="1"/>
  <c r="F30" i="2"/>
  <c r="F34" i="2" s="1"/>
  <c r="F36" i="2" s="1"/>
  <c r="E30" i="2"/>
  <c r="E34" i="2" s="1"/>
  <c r="E36" i="2" s="1"/>
  <c r="D30" i="2"/>
  <c r="D34" i="2" s="1"/>
  <c r="D36" i="2" s="1"/>
  <c r="C30" i="2"/>
  <c r="C34" i="2" s="1"/>
  <c r="C36" i="2" s="1"/>
  <c r="B30" i="2"/>
  <c r="B34" i="2" s="1"/>
  <c r="B36" i="2" s="1"/>
  <c r="G29" i="2"/>
  <c r="G30" i="2" l="1"/>
  <c r="G34" i="2" s="1"/>
  <c r="G36" i="2" s="1"/>
  <c r="AC40" i="2"/>
  <c r="AC41" i="2"/>
  <c r="G9" i="2" l="1"/>
  <c r="B9" i="2"/>
  <c r="H9" i="2"/>
  <c r="E9" i="2"/>
  <c r="C9" i="2"/>
  <c r="F6" i="2"/>
  <c r="E6" i="2"/>
  <c r="D6" i="2"/>
  <c r="C6" i="2"/>
  <c r="B6" i="2"/>
  <c r="H6" i="2"/>
  <c r="D8" i="2"/>
  <c r="C8" i="2"/>
  <c r="F76" i="10"/>
  <c r="H8" i="2"/>
  <c r="B8" i="2"/>
  <c r="F65" i="10"/>
  <c r="G65" i="10"/>
  <c r="G64" i="10" l="1"/>
  <c r="G63" i="10"/>
  <c r="G14" i="10"/>
  <c r="G114" i="10" l="1"/>
  <c r="G39" i="10"/>
  <c r="G38" i="10"/>
  <c r="G37" i="10"/>
  <c r="G36" i="10"/>
  <c r="G35" i="10"/>
  <c r="G34" i="10"/>
  <c r="G33" i="10"/>
  <c r="G32" i="10"/>
  <c r="G31" i="10"/>
  <c r="G29" i="10"/>
  <c r="G25" i="10"/>
  <c r="G24" i="10"/>
  <c r="G21" i="10"/>
  <c r="G20" i="10"/>
  <c r="G19" i="10"/>
  <c r="G6" i="10"/>
  <c r="G7" i="10"/>
  <c r="G3" i="10"/>
  <c r="F91" i="10" l="1"/>
  <c r="G78" i="10"/>
  <c r="G82" i="10"/>
  <c r="AB46" i="14" l="1"/>
  <c r="Q62" i="14"/>
  <c r="AK62" i="14"/>
  <c r="AJ62" i="14"/>
  <c r="AI62" i="14"/>
  <c r="AH62" i="14"/>
  <c r="AG62" i="14"/>
  <c r="AF62" i="14"/>
  <c r="AE62" i="14"/>
  <c r="AD62" i="14"/>
  <c r="AC62" i="14"/>
  <c r="AB62" i="14"/>
  <c r="AA62" i="14"/>
  <c r="Z62" i="14"/>
  <c r="Y62" i="14"/>
  <c r="X62" i="14"/>
  <c r="W62" i="14"/>
  <c r="V62" i="14"/>
  <c r="U62" i="14"/>
  <c r="T62" i="14"/>
  <c r="S62" i="14"/>
  <c r="R62" i="14"/>
  <c r="P62" i="14"/>
  <c r="O62" i="14"/>
  <c r="M62" i="14"/>
  <c r="L62" i="14"/>
  <c r="J62" i="14"/>
  <c r="I62" i="14"/>
  <c r="G62" i="14"/>
  <c r="F62" i="14"/>
  <c r="M24" i="8"/>
  <c r="N24" i="8"/>
  <c r="O24" i="8"/>
  <c r="P24" i="8"/>
  <c r="Q24" i="8"/>
  <c r="R24" i="8"/>
  <c r="S24" i="8"/>
  <c r="T24" i="8"/>
  <c r="U24" i="8"/>
  <c r="AK101" i="14"/>
  <c r="AM101" i="14"/>
  <c r="AL91" i="14"/>
  <c r="AJ101" i="14"/>
  <c r="AI101" i="14"/>
  <c r="AH101" i="14"/>
  <c r="AG101" i="14"/>
  <c r="AF101" i="14"/>
  <c r="AE101" i="14"/>
  <c r="AD101" i="14"/>
  <c r="AC101" i="14"/>
  <c r="AB101" i="14"/>
  <c r="AA101" i="14"/>
  <c r="Z101" i="14"/>
  <c r="Y101" i="14"/>
  <c r="X101" i="14"/>
  <c r="W101" i="14"/>
  <c r="V101" i="14"/>
  <c r="U101" i="14"/>
  <c r="T101" i="14"/>
  <c r="S101" i="14"/>
  <c r="R101" i="14"/>
  <c r="Q101" i="14"/>
  <c r="P101" i="14"/>
  <c r="O101" i="14"/>
  <c r="N101" i="14"/>
  <c r="M101" i="14"/>
  <c r="L101" i="14"/>
  <c r="J101" i="14"/>
  <c r="I101" i="14"/>
  <c r="G101" i="14"/>
  <c r="AM100" i="14"/>
  <c r="K100" i="14"/>
  <c r="AL68" i="14"/>
  <c r="AL66" i="14"/>
  <c r="AK80" i="14"/>
  <c r="AJ80" i="14"/>
  <c r="AI80" i="14"/>
  <c r="AH80" i="14"/>
  <c r="AG80" i="14"/>
  <c r="AF80" i="14"/>
  <c r="AE80" i="14"/>
  <c r="AD80" i="14"/>
  <c r="AC80" i="14"/>
  <c r="AB80" i="14"/>
  <c r="AA80" i="14"/>
  <c r="Z80" i="14"/>
  <c r="Y80" i="14"/>
  <c r="X80" i="14"/>
  <c r="W80" i="14"/>
  <c r="V80" i="14"/>
  <c r="U80" i="14"/>
  <c r="T80" i="14"/>
  <c r="S80" i="14"/>
  <c r="R80" i="14"/>
  <c r="Q80" i="14"/>
  <c r="P80" i="14"/>
  <c r="O80" i="14"/>
  <c r="N80" i="14"/>
  <c r="M80" i="14"/>
  <c r="L80" i="14"/>
  <c r="AM79" i="14"/>
  <c r="K79" i="14"/>
  <c r="I79" i="14"/>
  <c r="H79" i="14"/>
  <c r="G79" i="14"/>
  <c r="F79" i="14"/>
  <c r="J79" i="14" s="1"/>
  <c r="E79" i="14"/>
  <c r="AM61" i="14"/>
  <c r="K61" i="14"/>
  <c r="I61" i="14"/>
  <c r="H61" i="14"/>
  <c r="G61" i="14"/>
  <c r="F61" i="14"/>
  <c r="J61" i="14" s="1"/>
  <c r="E61" i="14"/>
  <c r="AL28" i="14"/>
  <c r="I36" i="14"/>
  <c r="I35" i="14"/>
  <c r="AK46" i="14"/>
  <c r="AJ46" i="14"/>
  <c r="AI46" i="14"/>
  <c r="AH46" i="14"/>
  <c r="AG46" i="14"/>
  <c r="AF46" i="14"/>
  <c r="AE46" i="14"/>
  <c r="AD46" i="14"/>
  <c r="AC46" i="14"/>
  <c r="Z46" i="14"/>
  <c r="Y46" i="14"/>
  <c r="X46" i="14"/>
  <c r="W46" i="14"/>
  <c r="V46" i="14"/>
  <c r="U46" i="14"/>
  <c r="T46" i="14"/>
  <c r="S46" i="14"/>
  <c r="R46" i="14"/>
  <c r="O46" i="14"/>
  <c r="AM45" i="14"/>
  <c r="AA45" i="14"/>
  <c r="K45" i="14"/>
  <c r="I45" i="14"/>
  <c r="H45" i="14"/>
  <c r="G45" i="14"/>
  <c r="F45" i="14"/>
  <c r="E45" i="14"/>
  <c r="AL15" i="14"/>
  <c r="AL13" i="14"/>
  <c r="AL11" i="14"/>
  <c r="AL9" i="14"/>
  <c r="AK26" i="14"/>
  <c r="AJ26" i="14"/>
  <c r="AI26" i="14"/>
  <c r="AH26" i="14"/>
  <c r="AG26" i="14"/>
  <c r="AF26" i="14"/>
  <c r="AE26" i="14"/>
  <c r="AD26" i="14"/>
  <c r="AC26" i="14"/>
  <c r="AB26" i="14"/>
  <c r="Z26" i="14"/>
  <c r="Y26" i="14"/>
  <c r="X26" i="14"/>
  <c r="W26" i="14"/>
  <c r="V26" i="14"/>
  <c r="U26" i="14"/>
  <c r="T26" i="14"/>
  <c r="S26" i="14"/>
  <c r="R26" i="14"/>
  <c r="O26" i="14"/>
  <c r="N26" i="14"/>
  <c r="M26" i="14"/>
  <c r="AM25" i="14"/>
  <c r="AM26" i="14" s="1"/>
  <c r="AA25" i="14"/>
  <c r="K25" i="14"/>
  <c r="K24" i="14"/>
  <c r="AM24" i="14"/>
  <c r="AA24" i="14"/>
  <c r="I24" i="14"/>
  <c r="H24" i="14"/>
  <c r="G24" i="14"/>
  <c r="F24" i="14"/>
  <c r="E24" i="14"/>
  <c r="J45" i="14" l="1"/>
  <c r="J24" i="14"/>
  <c r="G7" i="2"/>
  <c r="E7" i="2"/>
  <c r="D7" i="2"/>
  <c r="C7" i="2"/>
  <c r="B7" i="2"/>
  <c r="M27" i="14" l="1"/>
  <c r="G11" i="2" l="1"/>
  <c r="Q34" i="2" l="1"/>
  <c r="Q36" i="2" s="1"/>
  <c r="P29" i="2"/>
  <c r="P30" i="2"/>
  <c r="P31" i="2"/>
  <c r="P32" i="2"/>
  <c r="P33" i="2"/>
  <c r="K34" i="2"/>
  <c r="K36" i="2" s="1"/>
  <c r="L34" i="2"/>
  <c r="L36" i="2" s="1"/>
  <c r="M34" i="2"/>
  <c r="M36" i="2" s="1"/>
  <c r="N34" i="2"/>
  <c r="N36" i="2" s="1"/>
  <c r="O34" i="2"/>
  <c r="P35" i="2"/>
  <c r="O36" i="2"/>
  <c r="P36" i="2" l="1"/>
  <c r="P34" i="2"/>
  <c r="H20" i="2" l="1"/>
  <c r="AM32" i="14" l="1"/>
  <c r="AA32" i="14"/>
  <c r="H32" i="14"/>
  <c r="G32" i="14"/>
  <c r="F32" i="14"/>
  <c r="E32" i="14"/>
  <c r="J32" i="14" l="1"/>
  <c r="C40" i="2"/>
  <c r="C41" i="2" s="1"/>
  <c r="P11" i="2" l="1"/>
  <c r="AM23" i="14" l="1"/>
  <c r="AA23" i="14"/>
  <c r="K23" i="14"/>
  <c r="AL16" i="14"/>
  <c r="J23" i="14" l="1"/>
  <c r="E99" i="14" l="1"/>
  <c r="H10" i="2"/>
  <c r="H88" i="14"/>
  <c r="AM99" i="14"/>
  <c r="E91" i="14"/>
  <c r="E101" i="14" s="1"/>
  <c r="AM78" i="14"/>
  <c r="E78" i="14"/>
  <c r="AM60" i="14"/>
  <c r="E60" i="14"/>
  <c r="AM44" i="14"/>
  <c r="E44" i="14"/>
  <c r="AM22" i="14"/>
  <c r="E22" i="14"/>
  <c r="AD25" i="8"/>
  <c r="AC25" i="8"/>
  <c r="AB25" i="8"/>
  <c r="AA25" i="8"/>
  <c r="Z25" i="8"/>
  <c r="Y25" i="8"/>
  <c r="X25" i="8"/>
  <c r="T36" i="2"/>
  <c r="T37" i="2" s="1"/>
  <c r="AA31" i="2" l="1"/>
  <c r="AA30" i="2"/>
  <c r="AA35" i="2"/>
  <c r="AA29" i="2"/>
  <c r="AA33" i="2"/>
  <c r="AA32" i="2"/>
  <c r="AA34" i="2"/>
  <c r="G88" i="10"/>
  <c r="G87" i="10"/>
  <c r="G85" i="10"/>
  <c r="G43" i="10"/>
  <c r="G67" i="10"/>
  <c r="G62" i="10"/>
  <c r="G60" i="10"/>
  <c r="G73" i="10"/>
  <c r="G115" i="10"/>
  <c r="G99" i="10"/>
  <c r="F10" i="2"/>
  <c r="S5" i="8"/>
  <c r="T5" i="8"/>
  <c r="S6" i="8"/>
  <c r="T6" i="8"/>
  <c r="S7" i="8"/>
  <c r="T7" i="8"/>
  <c r="U7" i="8"/>
  <c r="S8" i="8"/>
  <c r="T8" i="8"/>
  <c r="U8" i="8"/>
  <c r="S9" i="8"/>
  <c r="T9" i="8"/>
  <c r="U9" i="8"/>
  <c r="Z36" i="2" l="1"/>
  <c r="Z37" i="2" s="1"/>
  <c r="X36" i="2"/>
  <c r="W36" i="2"/>
  <c r="V36" i="2"/>
  <c r="Y36" i="2" l="1"/>
  <c r="U36" i="2"/>
  <c r="AA36" i="2" s="1"/>
  <c r="AA37" i="2" s="1"/>
  <c r="M11" i="2" l="1"/>
  <c r="N11" i="2"/>
  <c r="O11" i="2"/>
  <c r="L11" i="2"/>
  <c r="K11" i="2"/>
  <c r="N34" i="12"/>
  <c r="N33" i="12"/>
  <c r="O33" i="12"/>
  <c r="P96" i="14"/>
  <c r="Q9" i="8" s="1"/>
  <c r="Q97" i="14"/>
  <c r="L98" i="14"/>
  <c r="L41" i="14"/>
  <c r="L46" i="14" s="1"/>
  <c r="G40" i="10"/>
  <c r="D34" i="12"/>
  <c r="I33" i="12"/>
  <c r="I34" i="12"/>
  <c r="I35" i="12"/>
  <c r="H33" i="12"/>
  <c r="G33" i="12"/>
  <c r="F33" i="12"/>
  <c r="E33" i="12"/>
  <c r="G113" i="10"/>
  <c r="G112" i="10"/>
  <c r="G111" i="10"/>
  <c r="G110" i="10"/>
  <c r="G109" i="10"/>
  <c r="G103" i="10"/>
  <c r="G102" i="10"/>
  <c r="G107" i="10"/>
  <c r="G105" i="10"/>
  <c r="G101" i="10"/>
  <c r="G98" i="10"/>
  <c r="AM93" i="14" l="1"/>
  <c r="AM94" i="14"/>
  <c r="AM95" i="14"/>
  <c r="AM96" i="14"/>
  <c r="AM97" i="14"/>
  <c r="AM98" i="14"/>
  <c r="K95" i="14"/>
  <c r="M94" i="14"/>
  <c r="N93" i="14"/>
  <c r="AA92" i="14"/>
  <c r="AA91" i="14"/>
  <c r="AA90" i="14"/>
  <c r="AA89" i="14"/>
  <c r="AA88" i="14"/>
  <c r="AA87" i="14"/>
  <c r="AA86" i="14"/>
  <c r="AA85" i="14"/>
  <c r="AA84" i="14"/>
  <c r="AA83" i="14"/>
  <c r="AA82" i="14"/>
  <c r="AM76" i="14"/>
  <c r="AM77" i="14"/>
  <c r="L77" i="14"/>
  <c r="N76" i="14"/>
  <c r="AM57" i="14"/>
  <c r="AM58" i="14"/>
  <c r="AM59" i="14"/>
  <c r="L59" i="14"/>
  <c r="Q58" i="14"/>
  <c r="P57" i="14"/>
  <c r="Q7" i="8" s="1"/>
  <c r="K56" i="14"/>
  <c r="AL47" i="14"/>
  <c r="N55" i="14"/>
  <c r="N62" i="14" s="1"/>
  <c r="AM55" i="14"/>
  <c r="AM56" i="14"/>
  <c r="P43" i="14"/>
  <c r="Q42" i="14"/>
  <c r="Q46" i="14" s="1"/>
  <c r="AM42" i="14"/>
  <c r="AM43" i="14"/>
  <c r="AM41" i="14"/>
  <c r="K40" i="14"/>
  <c r="AM40" i="14"/>
  <c r="N38" i="14"/>
  <c r="N46" i="14" s="1"/>
  <c r="M39" i="14"/>
  <c r="M46" i="14" s="1"/>
  <c r="AM38" i="14"/>
  <c r="AM39" i="14"/>
  <c r="L21" i="14"/>
  <c r="L26" i="14" s="1"/>
  <c r="AM21" i="14"/>
  <c r="F10" i="14"/>
  <c r="F12" i="14"/>
  <c r="F14" i="14"/>
  <c r="F17" i="14"/>
  <c r="F19" i="14"/>
  <c r="F20" i="14"/>
  <c r="AM85" i="14"/>
  <c r="AM86" i="14"/>
  <c r="AM87" i="14"/>
  <c r="AM88" i="14"/>
  <c r="AM89" i="14"/>
  <c r="AM90" i="14"/>
  <c r="AM91" i="14"/>
  <c r="AM92" i="14"/>
  <c r="AM84" i="14"/>
  <c r="F85" i="14"/>
  <c r="E86" i="14"/>
  <c r="F86" i="14"/>
  <c r="G86" i="14"/>
  <c r="H86" i="14"/>
  <c r="I86" i="14"/>
  <c r="K86" i="14"/>
  <c r="E87" i="14"/>
  <c r="F87" i="14"/>
  <c r="G87" i="14"/>
  <c r="H87" i="14"/>
  <c r="I87" i="14"/>
  <c r="K87" i="14"/>
  <c r="E89" i="14"/>
  <c r="F89" i="14"/>
  <c r="G89" i="14"/>
  <c r="H89" i="14"/>
  <c r="I89" i="14"/>
  <c r="K89" i="14"/>
  <c r="I90" i="14"/>
  <c r="E92" i="14"/>
  <c r="F92" i="14"/>
  <c r="G92" i="14"/>
  <c r="H92" i="14"/>
  <c r="I92" i="14"/>
  <c r="K92" i="14"/>
  <c r="K84" i="14"/>
  <c r="I84" i="14"/>
  <c r="H84" i="14"/>
  <c r="G84" i="14"/>
  <c r="F84" i="14"/>
  <c r="E84" i="14"/>
  <c r="AM49" i="14"/>
  <c r="AM50" i="14"/>
  <c r="AM51" i="14"/>
  <c r="AM52" i="14"/>
  <c r="AM53" i="14"/>
  <c r="AM54" i="14"/>
  <c r="E50" i="14"/>
  <c r="F50" i="14"/>
  <c r="G50" i="14"/>
  <c r="H50" i="14"/>
  <c r="I50" i="14"/>
  <c r="K50" i="14"/>
  <c r="E51" i="14"/>
  <c r="F51" i="14"/>
  <c r="G51" i="14"/>
  <c r="H51" i="14"/>
  <c r="I51" i="14"/>
  <c r="K51" i="14"/>
  <c r="E52" i="14"/>
  <c r="F52" i="14"/>
  <c r="G52" i="14"/>
  <c r="H52" i="14"/>
  <c r="I52" i="14"/>
  <c r="K52" i="14"/>
  <c r="I53" i="14"/>
  <c r="E54" i="14"/>
  <c r="F54" i="14"/>
  <c r="G54" i="14"/>
  <c r="H54" i="14"/>
  <c r="I54" i="14"/>
  <c r="K54" i="14"/>
  <c r="K49" i="14"/>
  <c r="I49" i="14"/>
  <c r="H49" i="14"/>
  <c r="G49" i="14"/>
  <c r="F49" i="14"/>
  <c r="E49" i="14"/>
  <c r="Q75" i="14"/>
  <c r="P74" i="14"/>
  <c r="AM66" i="14"/>
  <c r="AM67" i="14"/>
  <c r="AM68" i="14"/>
  <c r="AM69" i="14"/>
  <c r="AM70" i="14"/>
  <c r="AM80" i="14" s="1"/>
  <c r="AM71" i="14"/>
  <c r="AM72" i="14"/>
  <c r="AM73" i="14"/>
  <c r="AM74" i="14"/>
  <c r="AM75" i="14"/>
  <c r="AM65" i="14"/>
  <c r="F66" i="14"/>
  <c r="F80" i="14" s="1"/>
  <c r="E67" i="14"/>
  <c r="F67" i="14"/>
  <c r="G67" i="14"/>
  <c r="H67" i="14"/>
  <c r="I67" i="14"/>
  <c r="K67" i="14"/>
  <c r="G68" i="14"/>
  <c r="G80" i="14" s="1"/>
  <c r="E69" i="14"/>
  <c r="F69" i="14"/>
  <c r="G69" i="14"/>
  <c r="H69" i="14"/>
  <c r="I69" i="14"/>
  <c r="K69" i="14"/>
  <c r="H70" i="14"/>
  <c r="E71" i="14"/>
  <c r="F71" i="14"/>
  <c r="G71" i="14"/>
  <c r="H71" i="14"/>
  <c r="I71" i="14"/>
  <c r="K71" i="14"/>
  <c r="I72" i="14"/>
  <c r="I80" i="14" s="1"/>
  <c r="E73" i="14"/>
  <c r="F73" i="14"/>
  <c r="G73" i="14"/>
  <c r="H73" i="14"/>
  <c r="I73" i="14"/>
  <c r="K73" i="14"/>
  <c r="E74" i="14"/>
  <c r="F74" i="14"/>
  <c r="G74" i="14"/>
  <c r="H74" i="14"/>
  <c r="I74" i="14"/>
  <c r="K74" i="14"/>
  <c r="E75" i="14"/>
  <c r="F75" i="14"/>
  <c r="G75" i="14"/>
  <c r="H75" i="14"/>
  <c r="I75" i="14"/>
  <c r="K75" i="14"/>
  <c r="K65" i="14"/>
  <c r="I65" i="14"/>
  <c r="H65" i="14"/>
  <c r="G65" i="14"/>
  <c r="F65" i="14"/>
  <c r="E65" i="14"/>
  <c r="AM28" i="14"/>
  <c r="AM29" i="14"/>
  <c r="AM30" i="14"/>
  <c r="AM31" i="14"/>
  <c r="AM33" i="14"/>
  <c r="AM34" i="14"/>
  <c r="AM35" i="14"/>
  <c r="AM36" i="14"/>
  <c r="AM37" i="14"/>
  <c r="K37" i="14"/>
  <c r="J27" i="14"/>
  <c r="J28" i="14"/>
  <c r="I46" i="14"/>
  <c r="H35" i="14"/>
  <c r="H34" i="14"/>
  <c r="G33" i="14"/>
  <c r="G35" i="14"/>
  <c r="G31" i="14"/>
  <c r="F30" i="14"/>
  <c r="F31" i="14"/>
  <c r="F35" i="14"/>
  <c r="F29" i="14"/>
  <c r="E30" i="14"/>
  <c r="E31" i="14"/>
  <c r="E35" i="14"/>
  <c r="E28" i="14"/>
  <c r="AA27" i="14"/>
  <c r="AA28" i="14"/>
  <c r="AA29" i="14"/>
  <c r="AA30" i="14"/>
  <c r="AA31" i="14"/>
  <c r="AA33" i="14"/>
  <c r="AA34" i="14"/>
  <c r="AA35" i="14"/>
  <c r="AA36" i="14"/>
  <c r="AA37" i="14"/>
  <c r="AM9" i="14"/>
  <c r="AM10" i="14"/>
  <c r="AM11" i="14"/>
  <c r="AM12" i="14"/>
  <c r="AM13" i="14"/>
  <c r="AM14" i="14"/>
  <c r="AM15" i="14"/>
  <c r="AM16" i="14"/>
  <c r="AM17" i="14"/>
  <c r="AM18" i="14"/>
  <c r="AM19" i="14"/>
  <c r="AM20" i="14"/>
  <c r="AM8" i="14"/>
  <c r="Q20" i="14"/>
  <c r="Q26" i="14" s="1"/>
  <c r="P19" i="14"/>
  <c r="P26" i="14" s="1"/>
  <c r="K10" i="14"/>
  <c r="K12" i="14"/>
  <c r="K14" i="14"/>
  <c r="K17" i="14"/>
  <c r="K18" i="14"/>
  <c r="K19" i="14"/>
  <c r="K20" i="14"/>
  <c r="K8" i="14"/>
  <c r="I10" i="14"/>
  <c r="I12" i="14"/>
  <c r="I14" i="14"/>
  <c r="I15" i="14"/>
  <c r="I17" i="14"/>
  <c r="I19" i="14"/>
  <c r="I20" i="14"/>
  <c r="I8" i="14"/>
  <c r="H10" i="14"/>
  <c r="H12" i="14"/>
  <c r="H13" i="14"/>
  <c r="H14" i="14"/>
  <c r="H17" i="14"/>
  <c r="H19" i="14"/>
  <c r="H20" i="14"/>
  <c r="H8" i="14"/>
  <c r="G10" i="14"/>
  <c r="G11" i="14"/>
  <c r="G12" i="14"/>
  <c r="G14" i="14"/>
  <c r="G17" i="14"/>
  <c r="G19" i="14"/>
  <c r="G20" i="14"/>
  <c r="G8" i="14"/>
  <c r="F9" i="14"/>
  <c r="E10" i="14"/>
  <c r="E12" i="14"/>
  <c r="E14" i="14"/>
  <c r="E16" i="14"/>
  <c r="E17" i="14"/>
  <c r="E19" i="14"/>
  <c r="E20" i="14"/>
  <c r="E8" i="14"/>
  <c r="F8" i="14"/>
  <c r="AA9" i="14"/>
  <c r="AA10" i="14"/>
  <c r="AA11" i="14"/>
  <c r="AA12" i="14"/>
  <c r="AA13" i="14"/>
  <c r="AA14" i="14"/>
  <c r="AA15" i="14"/>
  <c r="AA16" i="14"/>
  <c r="AA17" i="14"/>
  <c r="AA18" i="14"/>
  <c r="AA19" i="14"/>
  <c r="AA20" i="14"/>
  <c r="AA8" i="14"/>
  <c r="Q8" i="8" l="1"/>
  <c r="G46" i="14"/>
  <c r="P46" i="14"/>
  <c r="Q6" i="8" s="1"/>
  <c r="AA46" i="14"/>
  <c r="F46" i="14"/>
  <c r="F26" i="14"/>
  <c r="G26" i="14"/>
  <c r="J29" i="14"/>
  <c r="J31" i="14"/>
  <c r="J30" i="14"/>
  <c r="J36" i="14"/>
  <c r="J89" i="14"/>
  <c r="J87" i="14"/>
  <c r="J33" i="14"/>
  <c r="J92" i="14"/>
  <c r="J91" i="14"/>
  <c r="J37" i="14"/>
  <c r="J65" i="14"/>
  <c r="J67" i="14"/>
  <c r="J35" i="14"/>
  <c r="J8" i="14"/>
  <c r="J54" i="14"/>
  <c r="J90" i="14"/>
  <c r="J52" i="14"/>
  <c r="J14" i="14"/>
  <c r="J20" i="14"/>
  <c r="J15" i="14"/>
  <c r="J19" i="14"/>
  <c r="J18" i="14"/>
  <c r="J10" i="14"/>
  <c r="J11" i="14"/>
  <c r="J17" i="14"/>
  <c r="J12" i="14"/>
  <c r="J9" i="14"/>
  <c r="J13" i="14"/>
  <c r="J68" i="14"/>
  <c r="J71" i="14"/>
  <c r="J75" i="14"/>
  <c r="J66" i="14"/>
  <c r="J16" i="14"/>
  <c r="J73" i="14"/>
  <c r="J69" i="14"/>
  <c r="J70" i="14"/>
  <c r="J49" i="14"/>
  <c r="J51" i="14"/>
  <c r="J50" i="14"/>
  <c r="J88" i="14"/>
  <c r="J86" i="14"/>
  <c r="J34" i="14"/>
  <c r="J72" i="14"/>
  <c r="J53" i="14"/>
  <c r="J84" i="14"/>
  <c r="J85" i="14"/>
  <c r="J74" i="14"/>
  <c r="J80" i="14" l="1"/>
  <c r="J46" i="14"/>
  <c r="X24" i="8"/>
  <c r="X26" i="8" s="1"/>
  <c r="Z24" i="8"/>
  <c r="Z26" i="8" s="1"/>
  <c r="AA24" i="8"/>
  <c r="AA26" i="8" s="1"/>
  <c r="AB24" i="8"/>
  <c r="AB26" i="8" s="1"/>
  <c r="AC24" i="8"/>
  <c r="AC26" i="8" s="1"/>
  <c r="AD24" i="8"/>
  <c r="AD26" i="8" s="1"/>
  <c r="Y24" i="8"/>
  <c r="Y26" i="8" s="1"/>
  <c r="D64" i="17" l="1"/>
  <c r="G64" i="17" l="1"/>
  <c r="F64" i="17"/>
  <c r="E64" i="17"/>
  <c r="C64" i="17"/>
  <c r="G59" i="17"/>
  <c r="D59" i="17"/>
  <c r="H58" i="17"/>
  <c r="H57" i="17"/>
  <c r="H56" i="17"/>
  <c r="H55" i="17"/>
  <c r="H54" i="17"/>
  <c r="H53" i="17"/>
  <c r="H52" i="17"/>
  <c r="H51" i="17"/>
  <c r="H50" i="17"/>
  <c r="H49" i="17"/>
  <c r="H48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59" i="17" s="1"/>
  <c r="G7" i="17"/>
  <c r="G6" i="17"/>
  <c r="G4" i="17"/>
  <c r="C10" i="2" l="1"/>
  <c r="C12" i="2" s="1"/>
  <c r="B10" i="2"/>
  <c r="B12" i="2" s="1"/>
  <c r="G5" i="2" l="1"/>
  <c r="G81" i="10" l="1"/>
  <c r="F12" i="2"/>
  <c r="G92" i="10"/>
  <c r="G93" i="10"/>
  <c r="G71" i="10" l="1"/>
  <c r="G66" i="10"/>
  <c r="G55" i="10"/>
  <c r="G30" i="10" l="1"/>
  <c r="G28" i="10"/>
  <c r="G27" i="10"/>
  <c r="AL82" i="14" l="1"/>
  <c r="H40" i="2" l="1"/>
  <c r="H41" i="2" s="1"/>
  <c r="O32" i="12"/>
  <c r="O29" i="12"/>
  <c r="P15" i="12"/>
  <c r="P29" i="12"/>
  <c r="B40" i="2" l="1"/>
  <c r="O30" i="12"/>
  <c r="E42" i="12"/>
  <c r="C46" i="12" l="1"/>
  <c r="C45" i="12"/>
  <c r="C44" i="12"/>
  <c r="B42" i="12"/>
  <c r="A42" i="12"/>
  <c r="A41" i="12"/>
  <c r="D43" i="12"/>
  <c r="K18" i="16" l="1"/>
  <c r="Q40" i="2" l="1"/>
  <c r="K40" i="2" l="1"/>
  <c r="L40" i="2"/>
  <c r="C10" i="8"/>
  <c r="D10" i="2" l="1"/>
  <c r="D12" i="2" s="1"/>
  <c r="E10" i="2"/>
  <c r="E12" i="2" s="1"/>
  <c r="B17" i="2" l="1"/>
  <c r="M48" i="14" l="1"/>
  <c r="AM48" i="14"/>
  <c r="AM62" i="14" s="1"/>
  <c r="AM27" i="14"/>
  <c r="AM46" i="14" s="1"/>
  <c r="G6" i="2" l="1"/>
  <c r="G8" i="2"/>
  <c r="G10" i="2" l="1"/>
  <c r="E82" i="14"/>
  <c r="AM47" i="14"/>
  <c r="K47" i="14"/>
  <c r="G108" i="10" l="1"/>
  <c r="G106" i="10"/>
  <c r="G90" i="10"/>
  <c r="G91" i="10"/>
  <c r="G86" i="10"/>
  <c r="G83" i="10"/>
  <c r="G80" i="10"/>
  <c r="G79" i="10"/>
  <c r="G77" i="10"/>
  <c r="G54" i="10"/>
  <c r="G49" i="10"/>
  <c r="G44" i="10"/>
  <c r="I9" i="16"/>
  <c r="G8" i="16"/>
  <c r="D8" i="16"/>
  <c r="B8" i="16"/>
  <c r="C8" i="16"/>
  <c r="J82" i="14"/>
  <c r="I83" i="14"/>
  <c r="J83" i="14" s="1"/>
  <c r="AM83" i="14"/>
  <c r="Q5" i="8"/>
  <c r="B6" i="16" l="1"/>
  <c r="B10" i="16" s="1"/>
  <c r="N26" i="8" l="1"/>
  <c r="T26" i="8"/>
  <c r="S26" i="8"/>
  <c r="Q26" i="8" l="1"/>
  <c r="U26" i="8"/>
  <c r="O26" i="8"/>
  <c r="P26" i="8"/>
  <c r="R26" i="8"/>
  <c r="M26" i="8"/>
  <c r="G64" i="14"/>
  <c r="F63" i="14"/>
  <c r="AM82" i="14"/>
  <c r="V102" i="14"/>
  <c r="C22" i="2" l="1"/>
  <c r="AA40" i="2"/>
  <c r="Z40" i="2"/>
  <c r="C43" i="2" l="1"/>
  <c r="C42" i="2"/>
  <c r="L43" i="2"/>
  <c r="L42" i="2"/>
  <c r="L41" i="2"/>
  <c r="AA41" i="2"/>
  <c r="H43" i="2"/>
  <c r="H42" i="2"/>
  <c r="Q43" i="2"/>
  <c r="Q42" i="2"/>
  <c r="Q41" i="2"/>
  <c r="Z41" i="2" l="1"/>
  <c r="T40" i="2"/>
  <c r="B42" i="2" l="1"/>
  <c r="B43" i="2"/>
  <c r="B41" i="2"/>
  <c r="K43" i="2"/>
  <c r="K42" i="2"/>
  <c r="K41" i="2"/>
  <c r="T41" i="2"/>
  <c r="E40" i="12"/>
  <c r="I32" i="12" l="1"/>
  <c r="L38" i="12"/>
  <c r="M38" i="12"/>
  <c r="Q10" i="8" l="1"/>
  <c r="Q12" i="8" s="1"/>
  <c r="S10" i="8"/>
  <c r="S12" i="8" s="1"/>
  <c r="T10" i="8"/>
  <c r="T12" i="8" s="1"/>
  <c r="L18" i="16" l="1"/>
  <c r="M18" i="16" s="1"/>
  <c r="E41" i="12"/>
  <c r="D6" i="16" l="1"/>
  <c r="D10" i="16" s="1"/>
  <c r="H17" i="2"/>
  <c r="AL7" i="14"/>
  <c r="AL6" i="14"/>
  <c r="AL26" i="14" s="1"/>
  <c r="T17" i="2" l="1"/>
  <c r="T18" i="2" s="1"/>
  <c r="D39" i="12" l="1"/>
  <c r="B19" i="2"/>
  <c r="B7" i="16" s="1"/>
  <c r="B20" i="2"/>
  <c r="B9" i="16" s="1"/>
  <c r="K20" i="2"/>
  <c r="G9" i="16" s="1"/>
  <c r="I31" i="12"/>
  <c r="M43" i="12" l="1"/>
  <c r="M41" i="12"/>
  <c r="M40" i="12"/>
  <c r="D41" i="12"/>
  <c r="D40" i="12"/>
  <c r="E39" i="12" l="1"/>
  <c r="G10" i="8" l="1"/>
  <c r="E10" i="8"/>
  <c r="E12" i="8" s="1"/>
  <c r="K17" i="16" s="1"/>
  <c r="G97" i="10" l="1"/>
  <c r="M6" i="8" l="1"/>
  <c r="G68" i="10" l="1"/>
  <c r="G70" i="10"/>
  <c r="G53" i="10"/>
  <c r="G26" i="10"/>
  <c r="G23" i="10"/>
  <c r="G18" i="10"/>
  <c r="G17" i="10"/>
  <c r="G5" i="10"/>
  <c r="Q11" i="2" l="1"/>
  <c r="I8" i="16" s="1"/>
  <c r="B10" i="8"/>
  <c r="B12" i="8" s="1"/>
  <c r="K14" i="16" s="1"/>
  <c r="B18" i="2" l="1"/>
  <c r="B11" i="16" s="1"/>
  <c r="H8" i="16"/>
  <c r="N8" i="8"/>
  <c r="O7" i="8"/>
  <c r="N7" i="8"/>
  <c r="O6" i="8"/>
  <c r="N6" i="8"/>
  <c r="N5" i="8"/>
  <c r="G51" i="10" l="1"/>
  <c r="G48" i="10"/>
  <c r="G13" i="10"/>
  <c r="G12" i="10"/>
  <c r="G11" i="10"/>
  <c r="G10" i="10"/>
  <c r="G9" i="10"/>
  <c r="G8" i="10"/>
  <c r="G4" i="10"/>
  <c r="AM7" i="14" l="1"/>
  <c r="I30" i="12" l="1"/>
  <c r="F10" i="8" l="1"/>
  <c r="C12" i="8"/>
  <c r="K15" i="16" s="1"/>
  <c r="C6" i="16" l="1"/>
  <c r="C10" i="16" s="1"/>
  <c r="C17" i="2" l="1"/>
  <c r="F7" i="8" l="1"/>
  <c r="I29" i="12" l="1"/>
  <c r="AK102" i="14"/>
  <c r="I7" i="14"/>
  <c r="I26" i="14" s="1"/>
  <c r="H6" i="14"/>
  <c r="H26" i="14" s="1"/>
  <c r="AM6" i="14"/>
  <c r="AA6" i="14"/>
  <c r="AA7" i="14"/>
  <c r="AA26" i="14" l="1"/>
  <c r="J6" i="14"/>
  <c r="J7" i="14"/>
  <c r="J26" i="14" l="1"/>
  <c r="D42" i="12"/>
  <c r="Y11" i="8" l="1"/>
  <c r="Z11" i="8"/>
  <c r="AA11" i="8"/>
  <c r="AB11" i="8"/>
  <c r="AC11" i="8"/>
  <c r="AD11" i="8"/>
  <c r="X11" i="8"/>
  <c r="R7" i="8" l="1"/>
  <c r="D10" i="8" l="1"/>
  <c r="D12" i="8" s="1"/>
  <c r="K16" i="16" s="1"/>
  <c r="F12" i="8"/>
  <c r="J10" i="8"/>
  <c r="J12" i="8" s="1"/>
  <c r="K20" i="16" s="1"/>
  <c r="H12" i="8"/>
  <c r="I12" i="8"/>
  <c r="G12" i="8" l="1"/>
  <c r="K19" i="16" s="1"/>
  <c r="I27" i="12" l="1"/>
  <c r="I8" i="12"/>
  <c r="T11" i="2" l="1"/>
  <c r="P102" i="14" l="1"/>
  <c r="N9" i="8"/>
  <c r="O9" i="8"/>
  <c r="Z9" i="8" l="1"/>
  <c r="N10" i="8"/>
  <c r="N12" i="8" l="1"/>
  <c r="Y9" i="8"/>
  <c r="L15" i="16" l="1"/>
  <c r="M15" i="16" s="1"/>
  <c r="G89" i="10" l="1"/>
  <c r="G57" i="10" l="1"/>
  <c r="G56" i="10"/>
  <c r="G50" i="10"/>
  <c r="G52" i="10"/>
  <c r="G47" i="10" l="1"/>
  <c r="G46" i="10"/>
  <c r="G22" i="10"/>
  <c r="G42" i="10"/>
  <c r="G45" i="10"/>
  <c r="G59" i="10"/>
  <c r="M9" i="8" l="1"/>
  <c r="M8" i="8"/>
  <c r="M7" i="8" l="1"/>
  <c r="R9" i="8" l="1"/>
  <c r="R8" i="8"/>
  <c r="S102" i="14"/>
  <c r="K8" i="2" l="1"/>
  <c r="R5" i="8" l="1"/>
  <c r="AC5" i="8" s="1"/>
  <c r="AM64" i="14" l="1"/>
  <c r="AA64" i="14"/>
  <c r="AM63" i="14"/>
  <c r="AA63" i="14"/>
  <c r="J64" i="14" l="1"/>
  <c r="J63" i="14"/>
  <c r="N9" i="2"/>
  <c r="O5" i="2" l="1"/>
  <c r="AA81" i="14" l="1"/>
  <c r="AM81" i="14"/>
  <c r="F81" i="14"/>
  <c r="L8" i="2" l="1"/>
  <c r="J81" i="14"/>
  <c r="K6" i="2" l="1"/>
  <c r="Q6" i="2"/>
  <c r="O8" i="8" l="1"/>
  <c r="AA17" i="2" l="1"/>
  <c r="I42" i="12" l="1"/>
  <c r="I39" i="12"/>
  <c r="AA18" i="2"/>
  <c r="C20" i="2"/>
  <c r="C9" i="16" s="1"/>
  <c r="I40" i="12"/>
  <c r="I41" i="12"/>
  <c r="C18" i="2"/>
  <c r="C11" i="16" s="1"/>
  <c r="C19" i="2"/>
  <c r="C7" i="16" s="1"/>
  <c r="L20" i="2"/>
  <c r="H9" i="16" s="1"/>
  <c r="I43" i="12" l="1"/>
  <c r="Q5" i="2"/>
  <c r="F102" i="14" l="1"/>
  <c r="I25" i="12" l="1"/>
  <c r="G100" i="10" l="1"/>
  <c r="G104" i="10"/>
  <c r="I102" i="14" l="1"/>
  <c r="C18" i="9" l="1"/>
  <c r="G76" i="10" l="1"/>
  <c r="G84" i="10"/>
  <c r="AB8" i="8" l="1"/>
  <c r="AB6" i="8"/>
  <c r="Z6" i="8" l="1"/>
  <c r="Y6" i="8"/>
  <c r="AG102" i="14"/>
  <c r="X102" i="14"/>
  <c r="AI102" i="14"/>
  <c r="Z102" i="14"/>
  <c r="AE102" i="14"/>
  <c r="AJ102" i="14"/>
  <c r="AF102" i="14"/>
  <c r="W102" i="14"/>
  <c r="AH102" i="14"/>
  <c r="AD102" i="14"/>
  <c r="Y102" i="14"/>
  <c r="R102" i="14"/>
  <c r="G94" i="10" l="1"/>
  <c r="G72" i="10"/>
  <c r="G69" i="10" l="1"/>
  <c r="Q8" i="2" l="1"/>
  <c r="AC9" i="8"/>
  <c r="M9" i="2"/>
  <c r="AB9" i="8" l="1"/>
  <c r="R6" i="8"/>
  <c r="U6" i="8"/>
  <c r="P6" i="8"/>
  <c r="R10" i="8" l="1"/>
  <c r="R12" i="8" s="1"/>
  <c r="U5" i="8" l="1"/>
  <c r="U10" i="8" s="1"/>
  <c r="U12" i="8" s="1"/>
  <c r="L19" i="16"/>
  <c r="M19" i="16" s="1"/>
  <c r="AC6" i="8"/>
  <c r="K102" i="14"/>
  <c r="L20" i="16" l="1"/>
  <c r="M20" i="16" s="1"/>
  <c r="K7" i="2" l="1"/>
  <c r="AD7" i="8"/>
  <c r="AD6" i="8"/>
  <c r="AD8" i="8"/>
  <c r="AD9" i="8"/>
  <c r="AD5" i="8" l="1"/>
  <c r="T102" i="14"/>
  <c r="AD10" i="8" l="1"/>
  <c r="AD12" i="8" s="1"/>
  <c r="G61" i="10" l="1"/>
  <c r="I23" i="12" l="1"/>
  <c r="I19" i="12" l="1"/>
  <c r="X7" i="8" l="1"/>
  <c r="P9" i="8" l="1"/>
  <c r="P8" i="8"/>
  <c r="Q7" i="2"/>
  <c r="P7" i="8"/>
  <c r="Q102" i="14"/>
  <c r="H102" i="14"/>
  <c r="G102" i="14"/>
  <c r="P5" i="8"/>
  <c r="AA9" i="8" l="1"/>
  <c r="AB5" i="8"/>
  <c r="X8" i="8"/>
  <c r="AC8" i="8"/>
  <c r="Q9" i="2"/>
  <c r="Q10" i="2" s="1"/>
  <c r="Q12" i="2" s="1"/>
  <c r="O7" i="2"/>
  <c r="L9" i="2"/>
  <c r="N5" i="2"/>
  <c r="N7" i="2"/>
  <c r="O8" i="2"/>
  <c r="M7" i="2"/>
  <c r="V7" i="2" s="1"/>
  <c r="L7" i="2"/>
  <c r="X6" i="8"/>
  <c r="M6" i="2"/>
  <c r="AA6" i="8"/>
  <c r="L6" i="2"/>
  <c r="U6" i="2" s="1"/>
  <c r="N6" i="2"/>
  <c r="M5" i="2"/>
  <c r="O6" i="2"/>
  <c r="X6" i="2" s="1"/>
  <c r="I6" i="16" l="1"/>
  <c r="I10" i="16" s="1"/>
  <c r="P10" i="8"/>
  <c r="P12" i="8" s="1"/>
  <c r="AC7" i="8"/>
  <c r="AA5" i="8"/>
  <c r="O102" i="14"/>
  <c r="P7" i="2"/>
  <c r="L5" i="2"/>
  <c r="L10" i="2" s="1"/>
  <c r="P6" i="2"/>
  <c r="N8" i="2"/>
  <c r="N10" i="2" s="1"/>
  <c r="M8" i="2"/>
  <c r="Z17" i="2"/>
  <c r="L17" i="16" l="1"/>
  <c r="M17" i="16" s="1"/>
  <c r="J39" i="12"/>
  <c r="D9" i="16"/>
  <c r="H19" i="2"/>
  <c r="D7" i="16" s="1"/>
  <c r="H18" i="2"/>
  <c r="D11" i="16" s="1"/>
  <c r="Z18" i="2"/>
  <c r="P8" i="2"/>
  <c r="Q17" i="2"/>
  <c r="Q18" i="2" s="1"/>
  <c r="I11" i="16" s="1"/>
  <c r="M10" i="2"/>
  <c r="N12" i="2"/>
  <c r="M12" i="2" l="1"/>
  <c r="L12" i="2"/>
  <c r="I24" i="12" l="1"/>
  <c r="I22" i="12" l="1"/>
  <c r="I20" i="12"/>
  <c r="I21" i="12"/>
  <c r="Z7" i="8" l="1"/>
  <c r="M102" i="14" l="1"/>
  <c r="AB7" i="8" l="1"/>
  <c r="AC10" i="8"/>
  <c r="AC12" i="8" s="1"/>
  <c r="Y7" i="8"/>
  <c r="O9" i="2"/>
  <c r="P9" i="2" l="1"/>
  <c r="O10" i="2"/>
  <c r="P10" i="2" s="1"/>
  <c r="AA7" i="8"/>
  <c r="AB10" i="8"/>
  <c r="AB12" i="8" s="1"/>
  <c r="D23" i="9"/>
  <c r="D22" i="9"/>
  <c r="D21" i="9"/>
  <c r="D20" i="9"/>
  <c r="D19" i="9"/>
  <c r="D18" i="9"/>
  <c r="E18" i="9" s="1"/>
  <c r="D17" i="9"/>
  <c r="H23" i="9"/>
  <c r="H22" i="9"/>
  <c r="C22" i="9" l="1"/>
  <c r="O5" i="8"/>
  <c r="O10" i="8" l="1"/>
  <c r="O12" i="8" s="1"/>
  <c r="Y8" i="8"/>
  <c r="Z8" i="8"/>
  <c r="L16" i="16" l="1"/>
  <c r="M16" i="16" s="1"/>
  <c r="AA8" i="8"/>
  <c r="N102" i="14"/>
  <c r="T8" i="2"/>
  <c r="AA102" i="14" l="1"/>
  <c r="J102" i="14"/>
  <c r="Y5" i="8"/>
  <c r="Z5" i="8"/>
  <c r="AA10" i="8"/>
  <c r="AA12" i="8" s="1"/>
  <c r="P5" i="2"/>
  <c r="K9" i="2"/>
  <c r="G23" i="9"/>
  <c r="I23" i="9" s="1"/>
  <c r="T9" i="2" l="1"/>
  <c r="Y10" i="8"/>
  <c r="Y12" i="8" s="1"/>
  <c r="Z10" i="8"/>
  <c r="Z12" i="8" s="1"/>
  <c r="E22" i="9"/>
  <c r="G22" i="9"/>
  <c r="I22" i="9" s="1"/>
  <c r="H6" i="16" l="1"/>
  <c r="H10" i="16" s="1"/>
  <c r="L19" i="2"/>
  <c r="H7" i="16" s="1"/>
  <c r="Q19" i="2"/>
  <c r="I7" i="16" s="1"/>
  <c r="O12" i="2"/>
  <c r="P12" i="2" s="1"/>
  <c r="K22" i="9"/>
  <c r="L17" i="2" l="1"/>
  <c r="L18" i="2" s="1"/>
  <c r="I18" i="12"/>
  <c r="I17" i="12"/>
  <c r="J12" i="9" l="1"/>
  <c r="H11" i="16"/>
  <c r="I16" i="12"/>
  <c r="I15" i="12"/>
  <c r="I13" i="12"/>
  <c r="I14" i="12"/>
  <c r="I11" i="12" l="1"/>
  <c r="I7" i="12"/>
  <c r="I12" i="12"/>
  <c r="I9" i="12"/>
  <c r="I10" i="12"/>
  <c r="D12" i="9" l="1"/>
  <c r="Z7" i="2" l="1"/>
  <c r="X7" i="2"/>
  <c r="W7" i="2"/>
  <c r="U7" i="2"/>
  <c r="T7" i="2"/>
  <c r="Y7" i="2" l="1"/>
  <c r="AA7" i="2"/>
  <c r="H21" i="9" l="1"/>
  <c r="H20" i="9"/>
  <c r="H19" i="9"/>
  <c r="H18" i="9"/>
  <c r="H17" i="9"/>
  <c r="K7" i="9"/>
  <c r="D8" i="9"/>
  <c r="W11" i="2" l="1"/>
  <c r="V11" i="2"/>
  <c r="X9" i="2"/>
  <c r="W9" i="2"/>
  <c r="V9" i="2"/>
  <c r="U9" i="2"/>
  <c r="X8" i="2"/>
  <c r="W8" i="2"/>
  <c r="V8" i="2"/>
  <c r="U8" i="2"/>
  <c r="Z6" i="2"/>
  <c r="W6" i="2"/>
  <c r="V6" i="2"/>
  <c r="Z5" i="2"/>
  <c r="X5" i="2"/>
  <c r="W5" i="2"/>
  <c r="V5" i="2"/>
  <c r="U5" i="2"/>
  <c r="AA5" i="2" l="1"/>
  <c r="Y6" i="2"/>
  <c r="Y8" i="2"/>
  <c r="Y9" i="2"/>
  <c r="U11" i="2"/>
  <c r="H8" i="9"/>
  <c r="Z11" i="2"/>
  <c r="G8" i="9"/>
  <c r="X11" i="2"/>
  <c r="C8" i="9"/>
  <c r="C11" i="9"/>
  <c r="C10" i="9"/>
  <c r="C9" i="9"/>
  <c r="AA6" i="2"/>
  <c r="AA9" i="2"/>
  <c r="AA8" i="2"/>
  <c r="V10" i="2"/>
  <c r="X10" i="2"/>
  <c r="Y5" i="2"/>
  <c r="U10" i="2"/>
  <c r="W10" i="2"/>
  <c r="Y11" i="2"/>
  <c r="F12" i="9" l="1"/>
  <c r="L12" i="9" s="1"/>
  <c r="C12" i="9"/>
  <c r="E22" i="2"/>
  <c r="I8" i="9"/>
  <c r="Y10" i="2"/>
  <c r="E8" i="9"/>
  <c r="V12" i="2"/>
  <c r="W12" i="2"/>
  <c r="AA11" i="2"/>
  <c r="AA10" i="2"/>
  <c r="U12" i="2"/>
  <c r="D22" i="2" l="1"/>
  <c r="F22" i="2"/>
  <c r="K8" i="9"/>
  <c r="Y12" i="2"/>
  <c r="D14" i="9" l="1"/>
  <c r="F8" i="9" l="1"/>
  <c r="J8" i="9"/>
  <c r="H13" i="9"/>
  <c r="D13" i="9"/>
  <c r="H10" i="9"/>
  <c r="H9" i="9"/>
  <c r="D11" i="9"/>
  <c r="D10" i="9"/>
  <c r="D9" i="9"/>
  <c r="L8" i="9" l="1"/>
  <c r="G21" i="9" l="1"/>
  <c r="I21" i="9" s="1"/>
  <c r="G20" i="9"/>
  <c r="I20" i="9" s="1"/>
  <c r="G19" i="9"/>
  <c r="I19" i="9" s="1"/>
  <c r="G18" i="9"/>
  <c r="C20" i="9"/>
  <c r="C23" i="9" l="1"/>
  <c r="E23" i="9" s="1"/>
  <c r="K23" i="9" s="1"/>
  <c r="C17" i="9"/>
  <c r="E20" i="9"/>
  <c r="K20" i="9" s="1"/>
  <c r="C21" i="9" l="1"/>
  <c r="E21" i="9" s="1"/>
  <c r="K21" i="9" s="1"/>
  <c r="C19" i="9"/>
  <c r="E19" i="9" s="1"/>
  <c r="K19" i="9" s="1"/>
  <c r="I18" i="9"/>
  <c r="K18" i="9" s="1"/>
  <c r="E17" i="9"/>
  <c r="H11" i="9" l="1"/>
  <c r="H12" i="9"/>
  <c r="G11" i="9" l="1"/>
  <c r="I11" i="9" s="1"/>
  <c r="J11" i="9" s="1"/>
  <c r="G9" i="9"/>
  <c r="I9" i="9" s="1"/>
  <c r="J9" i="9" s="1"/>
  <c r="G10" i="9"/>
  <c r="I10" i="9" s="1"/>
  <c r="J10" i="9" l="1"/>
  <c r="I12" i="9"/>
  <c r="G12" i="9"/>
  <c r="H14" i="9" l="1"/>
  <c r="C13" i="9"/>
  <c r="C14" i="9"/>
  <c r="E13" i="9" l="1"/>
  <c r="E14" i="9" l="1"/>
  <c r="E9" i="9"/>
  <c r="F9" i="9" s="1"/>
  <c r="E10" i="9"/>
  <c r="F13" i="9" l="1"/>
  <c r="K9" i="9"/>
  <c r="L9" i="9"/>
  <c r="K10" i="9"/>
  <c r="F10" i="9"/>
  <c r="L10" i="9" s="1"/>
  <c r="E12" i="9"/>
  <c r="K12" i="9" s="1"/>
  <c r="F14" i="9" l="1"/>
  <c r="X12" i="2" l="1"/>
  <c r="AA12" i="2" s="1"/>
  <c r="AA13" i="2" s="1"/>
  <c r="E11" i="9"/>
  <c r="K11" i="9" s="1"/>
  <c r="F11" i="9" l="1"/>
  <c r="L11" i="9" s="1"/>
  <c r="Z9" i="2" l="1"/>
  <c r="Z10" i="2" l="1"/>
  <c r="G13" i="9"/>
  <c r="I13" i="9" l="1"/>
  <c r="Z12" i="2"/>
  <c r="Z13" i="2" s="1"/>
  <c r="K13" i="9" l="1"/>
  <c r="J13" i="9"/>
  <c r="L13" i="9" s="1"/>
  <c r="T6" i="2" l="1"/>
  <c r="AC102" i="14" l="1"/>
  <c r="M5" i="8" l="1"/>
  <c r="M10" i="8" s="1"/>
  <c r="X5" i="8" l="1"/>
  <c r="L102" i="14"/>
  <c r="X9" i="8"/>
  <c r="X10" i="8" l="1"/>
  <c r="X12" i="8" s="1"/>
  <c r="G17" i="9" l="1"/>
  <c r="I17" i="9" s="1"/>
  <c r="K17" i="9" s="1"/>
  <c r="M12" i="8"/>
  <c r="K5" i="2"/>
  <c r="K10" i="2" l="1"/>
  <c r="G14" i="9" s="1"/>
  <c r="T5" i="2"/>
  <c r="L14" i="16"/>
  <c r="M14" i="16" s="1"/>
  <c r="K12" i="2" l="1"/>
  <c r="T12" i="2" s="1"/>
  <c r="T13" i="2" s="1"/>
  <c r="T10" i="2"/>
  <c r="K19" i="2"/>
  <c r="G7" i="16" s="1"/>
  <c r="G6" i="16"/>
  <c r="G10" i="16" s="1"/>
  <c r="I14" i="9" l="1"/>
  <c r="J14" i="9" s="1"/>
  <c r="L14" i="9" s="1"/>
  <c r="K17" i="2"/>
  <c r="K18" i="2" s="1"/>
  <c r="G11" i="16" s="1"/>
  <c r="K14" i="9" l="1"/>
  <c r="AB102" i="14"/>
</calcChain>
</file>

<file path=xl/sharedStrings.xml><?xml version="1.0" encoding="utf-8"?>
<sst xmlns="http://schemas.openxmlformats.org/spreadsheetml/2006/main" count="1571" uniqueCount="424">
  <si>
    <t>RDTs and ACTS ON ORDER AS REFLECTED BY mSUPPLY and Global Fund</t>
  </si>
  <si>
    <t>AMS</t>
  </si>
  <si>
    <t>RDTS</t>
  </si>
  <si>
    <t>ACT 6</t>
  </si>
  <si>
    <t>ACT 12</t>
  </si>
  <si>
    <t>ACT 18</t>
  </si>
  <si>
    <t>ACT 24</t>
  </si>
  <si>
    <t>Total ACTs</t>
  </si>
  <si>
    <t>Badili</t>
  </si>
  <si>
    <t>Hagen</t>
  </si>
  <si>
    <t>Lae</t>
  </si>
  <si>
    <t>Kokopo</t>
  </si>
  <si>
    <t>Wewak</t>
  </si>
  <si>
    <t>Total NDoH</t>
  </si>
  <si>
    <t>RAM</t>
  </si>
  <si>
    <t>Total</t>
  </si>
  <si>
    <t>Actual Ratio of ACTs</t>
  </si>
  <si>
    <t>Desired Ratio of ACTs</t>
  </si>
  <si>
    <t>Price GF (US$)</t>
  </si>
  <si>
    <t>Primaquine Tablet</t>
  </si>
  <si>
    <t>Estimated Annual Consumption</t>
  </si>
  <si>
    <t>Estimated Monthly Consumptioin</t>
  </si>
  <si>
    <t>Thresholds For New Orders</t>
  </si>
  <si>
    <t>ACT6s Equivalents</t>
  </si>
  <si>
    <t>TOTAL</t>
  </si>
  <si>
    <t>BADILI</t>
  </si>
  <si>
    <t>HAGEN</t>
  </si>
  <si>
    <t>KOKOPO</t>
  </si>
  <si>
    <t>LAE</t>
  </si>
  <si>
    <t>Rapid Diagnostic Test (RDT) for Malaria, Pack/25</t>
  </si>
  <si>
    <t>RDT</t>
  </si>
  <si>
    <t>TABLET</t>
  </si>
  <si>
    <t>MONTHS OF STOCK ON HAND</t>
  </si>
  <si>
    <t>PQ</t>
  </si>
  <si>
    <t>SP (Sulphadoxine 500mg + Pyrimethamine 25mg Tab)</t>
  </si>
  <si>
    <t>Artemether Injection 80mg/ml (Amp)</t>
  </si>
  <si>
    <t>Artemether Injection 40mg/ml (Amp)</t>
  </si>
  <si>
    <t>Quinine 300mg Tablet</t>
  </si>
  <si>
    <t>Quinine Injection 600mg Vial</t>
  </si>
  <si>
    <t xml:space="preserve">ON ORDER AS REFLECTED BY mSUPPLY </t>
  </si>
  <si>
    <t>STOCK ON HAND</t>
  </si>
  <si>
    <t>ITEM</t>
  </si>
  <si>
    <t>PACK SIZE</t>
  </si>
  <si>
    <t>NDoH</t>
  </si>
  <si>
    <t>GF/RAM</t>
  </si>
  <si>
    <t>QUANTITY</t>
  </si>
  <si>
    <t>PRIMAQUINE</t>
  </si>
  <si>
    <t>ARTEMETHER INJ. 80MG</t>
  </si>
  <si>
    <t>ARTEMETHER INJ. 40MG</t>
  </si>
  <si>
    <t>QUININE TAB 300MG</t>
  </si>
  <si>
    <t>QUININE INJ. 600 INJ.</t>
  </si>
  <si>
    <t>OTHER ANTI-MALARIAL DRUGS</t>
  </si>
  <si>
    <t>INDIVIDUAL TEST KIT</t>
  </si>
  <si>
    <t>ACT 6 TABS</t>
  </si>
  <si>
    <t>ACT 24 TABS</t>
  </si>
  <si>
    <t>ACT 18 TABS</t>
  </si>
  <si>
    <t>ACT 12 TABS</t>
  </si>
  <si>
    <t>TOTAL ACTs</t>
  </si>
  <si>
    <t>INDIVIDUAL TREATMENT COURSE</t>
  </si>
  <si>
    <t>AMPOULE</t>
  </si>
  <si>
    <t>VIAL</t>
  </si>
  <si>
    <t>MONTHS OF STOCK ON ORDER</t>
  </si>
  <si>
    <t>DP (Dihydroartemisinin 40mg + Piperaquine 340mg Tab)</t>
  </si>
  <si>
    <t>ARTESUNATE SUPPOSITORY (200MG)</t>
  </si>
  <si>
    <t xml:space="preserve">ARTESUNATE SUPPOSITORY (50MG) </t>
  </si>
  <si>
    <t>EXPIRY DATE</t>
  </si>
  <si>
    <t>LOCATION</t>
  </si>
  <si>
    <t>SOURCE</t>
  </si>
  <si>
    <t>GLOBAL FUND</t>
  </si>
  <si>
    <t>CODE</t>
  </si>
  <si>
    <t>Artemether 20 mg+Lumefantrine 120mg Tablets, 15-24kg, blister 12x1</t>
  </si>
  <si>
    <t>Artemether 20 mg+Lumefantrine 120mg Tablets, 25-34kg, blister 18x1</t>
  </si>
  <si>
    <t>BATCH #</t>
  </si>
  <si>
    <t>MALARIA CENTRAL STORE</t>
  </si>
  <si>
    <t>GoPNG</t>
  </si>
  <si>
    <t>QUANTITY  IN INDIVIDUAL UNIT</t>
  </si>
  <si>
    <t>AREA MEDICAL STORE, BADILI</t>
  </si>
  <si>
    <t>AREA MEDICAL STORE, HAGEN</t>
  </si>
  <si>
    <t>AREA MEDICAL STORE, KOKOPO</t>
  </si>
  <si>
    <t>AREA MEDICAL STORE, WEWAK</t>
  </si>
  <si>
    <t>WEWAK</t>
  </si>
  <si>
    <t>AREA MEDICAL STORE, LAE</t>
  </si>
  <si>
    <t>EXPECTED DATES OF ARRIVAL</t>
  </si>
  <si>
    <t>IN MONTHS OF STOCK</t>
  </si>
  <si>
    <t xml:space="preserve">EXPECTED STOCK POSSIBLY IN THE NEXT SIX MONTHS </t>
  </si>
  <si>
    <t>RDT, ACT, &amp; PRIMAQUINE</t>
  </si>
  <si>
    <t>ARTESUNATE INJECTION 60MG</t>
  </si>
  <si>
    <t>SULPHADOXINE 500MG + PYRIMETHAMINE 25MG (SP)</t>
  </si>
  <si>
    <t>TOTAL QTY</t>
  </si>
  <si>
    <t>EQUIVALENCE IN MONTHS OF STOCK</t>
  </si>
  <si>
    <t>ACT6</t>
  </si>
  <si>
    <t>ACT12</t>
  </si>
  <si>
    <t>ACT18</t>
  </si>
  <si>
    <t>ACT24</t>
  </si>
  <si>
    <t>TOTAL ACT</t>
  </si>
  <si>
    <t>DATE</t>
  </si>
  <si>
    <t>ORDERD</t>
  </si>
  <si>
    <t xml:space="preserve">ARRIVAL </t>
  </si>
  <si>
    <t>PREVIOUS UPDATE</t>
  </si>
  <si>
    <t>ACT  (Total ACT 6 Equivalence)</t>
  </si>
  <si>
    <t xml:space="preserve">ACTs, RDTs AND PRIMAQUINE - STOCK AND PROCUREMENT SUMMARY OF NDoH MEDICAL SUPPLIES BRANCH AND RAM </t>
  </si>
  <si>
    <t>Primaquine Tablet, 7.5mg</t>
  </si>
  <si>
    <t xml:space="preserve">NDoH </t>
  </si>
  <si>
    <t xml:space="preserve">RAM/GF </t>
  </si>
  <si>
    <t xml:space="preserve">Total Possibly Available In The Next Six Months </t>
  </si>
  <si>
    <t>Total Possibly Available In the Next Six Months</t>
  </si>
  <si>
    <t>Artemether 20 mg+Lumefantrine 120mg Tablets, 25-34kg, blister 24x1</t>
  </si>
  <si>
    <t xml:space="preserve">Received; 09.09.21 </t>
  </si>
  <si>
    <t>Artemether 20 mg+Lumefantrine 120mg Tablets, 25-34kg, blister 12x1</t>
  </si>
  <si>
    <t>PNGSDP</t>
  </si>
  <si>
    <t>PURCHASE ORDER #</t>
  </si>
  <si>
    <t>COMMENTS</t>
  </si>
  <si>
    <t>FUNDING SOURCE</t>
  </si>
  <si>
    <t>GF</t>
  </si>
  <si>
    <t>ACT delivered at AMS on the 17.09.21.</t>
  </si>
  <si>
    <t xml:space="preserve">Received 29.05.21.  </t>
  </si>
  <si>
    <t>REQUISITION NUMBER</t>
  </si>
  <si>
    <t>Months of stock</t>
  </si>
  <si>
    <t>RDT -Months of stock</t>
  </si>
  <si>
    <t>Arrived 17.10.21 and received into stock.</t>
  </si>
  <si>
    <t>Artemether 20 mg+Lumefantrine 120mg Tablets, 25-34kg, blister 6x1</t>
  </si>
  <si>
    <t>PQ delivered in December, 2021</t>
  </si>
  <si>
    <t>ACT delivered in December 2021</t>
  </si>
  <si>
    <t>STOCK ON ORDER</t>
  </si>
  <si>
    <t>RAM / GLOBAL FUND ORDERS TO DATE</t>
  </si>
  <si>
    <t xml:space="preserve">ACT6 </t>
  </si>
  <si>
    <t>ARTESUNATE INJ. 60MG/3ML</t>
  </si>
  <si>
    <t>ARTEMETHER INJ. 40MG/ML</t>
  </si>
  <si>
    <t>ARTEMETHER INJ. 80MG/ML</t>
  </si>
  <si>
    <t>QUININE INJ. 600MG</t>
  </si>
  <si>
    <t>QUININE TABS. 300MG</t>
  </si>
  <si>
    <t xml:space="preserve">DP TABLETS </t>
  </si>
  <si>
    <t>SP TABLETS</t>
  </si>
  <si>
    <t>QTY</t>
  </si>
  <si>
    <t>RECEIVED</t>
  </si>
  <si>
    <t>OUTSTANDING</t>
  </si>
  <si>
    <t>Dihydroartemisinin 40mg + Piperaquine 340mg Tab)</t>
  </si>
  <si>
    <t>ARTESUNATE SUPPOSITORY 200MG</t>
  </si>
  <si>
    <t>ARTESUNATE SUPPOSITORY 50MG</t>
  </si>
  <si>
    <t>OTHER ANTIMALARIAL DRUGS</t>
  </si>
  <si>
    <t>10570130</t>
  </si>
  <si>
    <t>Primaquine Tab., 7.5mg</t>
  </si>
  <si>
    <t>10570040</t>
  </si>
  <si>
    <t>10570060</t>
  </si>
  <si>
    <t>40240100</t>
  </si>
  <si>
    <t>Pf/Pan Rapid Diagnostic Test for Malaria</t>
  </si>
  <si>
    <t>Received 30.05.22</t>
  </si>
  <si>
    <t>Received 25.04.2022</t>
  </si>
  <si>
    <t>Received 11.05.22</t>
  </si>
  <si>
    <t xml:space="preserve"> NDoH ORDERS TO DATE</t>
  </si>
  <si>
    <t xml:space="preserve">Received 01.06.22.  </t>
  </si>
  <si>
    <t xml:space="preserve">TOTAL </t>
  </si>
  <si>
    <t>Arrived on the 08.07.22, and received on 20.07.22</t>
  </si>
  <si>
    <t>Qty received.</t>
  </si>
  <si>
    <t>SUMMARY - STOCK AND PROCUREMENT SUMMARY OF MEDICAL SUPPLIES BRANCH AND RAM/GF</t>
  </si>
  <si>
    <t>-</t>
  </si>
  <si>
    <t>Artemether 20 mg+Lumefantrine 120mg Tablets, 35+kg, blister 24x1</t>
  </si>
  <si>
    <t>ACTs Delivered at AMS on 02.11.22</t>
  </si>
  <si>
    <t xml:space="preserve">PQ Received on the 27.10.22  </t>
  </si>
  <si>
    <t>Artesunate Injection 60mg Vial</t>
  </si>
  <si>
    <t>RDTs DELIVERED AT AMS ON THE 16th, 17th &amp; 21st NOV. 2022</t>
  </si>
  <si>
    <t xml:space="preserve">KOKOPO </t>
  </si>
  <si>
    <t>900,000 FULLY RECEIVED ON 30.12.22</t>
  </si>
  <si>
    <t>2023 Order; Fully supplied - received on 21.02.23</t>
  </si>
  <si>
    <t>30/07/23</t>
  </si>
  <si>
    <t>11/05/23</t>
  </si>
  <si>
    <t>Fully supplied on 15.05 - 19.05.2023</t>
  </si>
  <si>
    <t>03/07/23</t>
  </si>
  <si>
    <t>Borneo</t>
  </si>
  <si>
    <t>not received but not shown on outstanding POs</t>
  </si>
  <si>
    <t xml:space="preserve">CPL: Wewak AMS is yet to record this as received; </t>
  </si>
  <si>
    <t>10570030</t>
  </si>
  <si>
    <t xml:space="preserve"> </t>
  </si>
  <si>
    <t>28/04/24</t>
  </si>
  <si>
    <t>30/06/24</t>
  </si>
  <si>
    <t>total in Mos</t>
  </si>
  <si>
    <t>RAM/GF</t>
  </si>
  <si>
    <t xml:space="preserve">OTHER ANTIMALARIALS - STOCK AND PROCUREMENT SUMMARY OF NDoH MEDICAL SUPPLIES BRANCH </t>
  </si>
  <si>
    <t>P45 - RAM CR</t>
  </si>
  <si>
    <t>P25-RAM STORE</t>
  </si>
  <si>
    <t>R15</t>
  </si>
  <si>
    <t>R13</t>
  </si>
  <si>
    <t>30/06/2026</t>
  </si>
  <si>
    <t>30/04/2027</t>
  </si>
  <si>
    <t>HWE084001</t>
  </si>
  <si>
    <t>31/12/2026</t>
  </si>
  <si>
    <t>D1APH002</t>
  </si>
  <si>
    <t>HWE094015</t>
  </si>
  <si>
    <t>31/01/2027</t>
  </si>
  <si>
    <t>HWE114003</t>
  </si>
  <si>
    <t>HWE104004</t>
  </si>
  <si>
    <t>Fully received in July 2024</t>
  </si>
  <si>
    <t>Fully received in August 2024</t>
  </si>
  <si>
    <r>
      <t xml:space="preserve">AL24 from Modern 2024; partially received on the 21.06.2024 &amp; 26.06.2024; </t>
    </r>
    <r>
      <rPr>
        <sz val="9"/>
        <color rgb="FFFF0000"/>
        <rFont val="Calibri"/>
        <family val="2"/>
        <scheme val="minor"/>
      </rPr>
      <t>16,200 partially received on the 24.07.24 from Modern Pharma; 1,380 partially delivered on 21.10.24</t>
    </r>
  </si>
  <si>
    <t>30/06/25</t>
  </si>
  <si>
    <r>
      <t xml:space="preserve">Al18 from Modern 2024; partially received on the 21.06.2024 &amp; 26.06.2024; </t>
    </r>
    <r>
      <rPr>
        <sz val="9"/>
        <color rgb="FFC7090E"/>
        <rFont val="Calibri"/>
        <family val="2"/>
        <scheme val="minor"/>
      </rPr>
      <t>13,110 partially recieced on 21.10.25</t>
    </r>
  </si>
  <si>
    <t>A. ACTs, RDT, &amp; PRIMAQUINE</t>
  </si>
  <si>
    <t>ACTs (Total)</t>
  </si>
  <si>
    <t>Primaquine</t>
  </si>
  <si>
    <t>SOH in Months</t>
  </si>
  <si>
    <t>Global Fund/RAM</t>
  </si>
  <si>
    <t>Stock in Months</t>
  </si>
  <si>
    <t>Total stock in Months</t>
  </si>
  <si>
    <t>Artemether + Lumefantrine Tab., 20+120mg, blister,  6x1</t>
  </si>
  <si>
    <t>NAD2484C</t>
  </si>
  <si>
    <t>30/06/2028</t>
  </si>
  <si>
    <t>R08</t>
  </si>
  <si>
    <t>Artemether + Lumefantrine Tab., 20+120mg, blister, 12x1</t>
  </si>
  <si>
    <t>NAD2489A</t>
  </si>
  <si>
    <t>NAD2488A</t>
  </si>
  <si>
    <t>R16</t>
  </si>
  <si>
    <t>P23-RAM STORE</t>
  </si>
  <si>
    <t>P26-RAM STORE</t>
  </si>
  <si>
    <t>NAA24345A</t>
  </si>
  <si>
    <t>30/08/2028</t>
  </si>
  <si>
    <t>NAA24346A</t>
  </si>
  <si>
    <t>NAA24348A</t>
  </si>
  <si>
    <t>NAA24343A</t>
  </si>
  <si>
    <t>NAA24350A</t>
  </si>
  <si>
    <t>R18</t>
  </si>
  <si>
    <t>R17</t>
  </si>
  <si>
    <t>R11</t>
  </si>
  <si>
    <t>R09</t>
  </si>
  <si>
    <t>13/02/25</t>
  </si>
  <si>
    <t>30/10/25</t>
  </si>
  <si>
    <t>DIAPH002</t>
  </si>
  <si>
    <t>D1APH005</t>
  </si>
  <si>
    <t>BIAPH002</t>
  </si>
  <si>
    <t>02/04/25</t>
  </si>
  <si>
    <t>30/04/25</t>
  </si>
  <si>
    <t>10/04/25</t>
  </si>
  <si>
    <t>RFQ#Q25.001 EX STOCK SUPPLIES; 52,770 fully received on 25.04.25</t>
  </si>
  <si>
    <r>
      <t> </t>
    </r>
    <r>
      <rPr>
        <sz val="11"/>
        <color rgb="FF000000"/>
        <rFont val="Verdana"/>
        <family val="2"/>
      </rPr>
      <t>1.</t>
    </r>
    <r>
      <rPr>
        <b/>
        <sz val="11"/>
        <color rgb="FF0000FF"/>
        <rFont val="Verdana"/>
        <family val="2"/>
      </rPr>
      <t> </t>
    </r>
    <r>
      <rPr>
        <b/>
        <sz val="11"/>
        <color rgb="FF000000"/>
        <rFont val="Verdana"/>
        <family val="2"/>
      </rPr>
      <t>Stock on Hand</t>
    </r>
  </si>
  <si>
    <r>
      <t>2. </t>
    </r>
    <r>
      <rPr>
        <b/>
        <sz val="11"/>
        <color rgb="FF000000"/>
        <rFont val="Verdana"/>
        <family val="2"/>
      </rPr>
      <t xml:space="preserve">Stock in Pipeline </t>
    </r>
  </si>
  <si>
    <t>EXPECTED STOCK POSSIBLY IN THE NEXT SIX MONTHS</t>
  </si>
  <si>
    <t>SULFADOXINE 500MG + PYRIMETHAMINE 25MG (SP) (TABLET)</t>
  </si>
  <si>
    <t>ARTEMETHER INJ. 80MG (AMPOULE)</t>
  </si>
  <si>
    <t>ARTEMETHER INJ. 40MG (AMPOULE)</t>
  </si>
  <si>
    <t>ARTESUNATE INJECTION 60MG (VIAL)</t>
  </si>
  <si>
    <t>QUININE INJ. 600MG (VIAL)</t>
  </si>
  <si>
    <t>QUININE TABLET 300MG</t>
  </si>
  <si>
    <t>DIHYDROARTEMISININ 40MG + PIPERAQUINE 340mg (TAB)</t>
  </si>
  <si>
    <t>B. OTHER ANTI-MALARIALs (NDoH Procurement)</t>
  </si>
  <si>
    <t>All received on the 18th of Nov 2024</t>
  </si>
  <si>
    <t>RDT: 2024</t>
  </si>
  <si>
    <t>PO 9017</t>
  </si>
  <si>
    <t>Outstanding GF RDT received (49 pallets) from SDP-confirmed by Munir</t>
  </si>
  <si>
    <t>Recived fully on October 2024 (SDP-confirmed by Munir from RAM-ADP Agreement Letter)</t>
  </si>
  <si>
    <t>New Modern RDT Orders for yr 2025; Fully received on the 24.07.2025; 52,500 received  on the 28.08.2025 from Modern Pharma</t>
  </si>
  <si>
    <t>HWE084156</t>
  </si>
  <si>
    <t>HWE094156</t>
  </si>
  <si>
    <t>HWE104156</t>
  </si>
  <si>
    <t>HWE104157</t>
  </si>
  <si>
    <t>HWE114180</t>
  </si>
  <si>
    <t>H006E003D</t>
  </si>
  <si>
    <t>H006E001D</t>
  </si>
  <si>
    <t>30/11/2027</t>
  </si>
  <si>
    <t>HWE114157</t>
  </si>
  <si>
    <t>T35810</t>
  </si>
  <si>
    <t>31/03/2028</t>
  </si>
  <si>
    <t>D1APH007</t>
  </si>
  <si>
    <t>TIAPH001</t>
  </si>
  <si>
    <t>H006E002D</t>
  </si>
  <si>
    <t>SOH OF LLINS IN PNG</t>
  </si>
  <si>
    <t>Container Numbers</t>
  </si>
  <si>
    <t>Funded By</t>
  </si>
  <si>
    <t>Yoorkool for RAM origional (XL)</t>
  </si>
  <si>
    <t>ANC SDP NETS</t>
  </si>
  <si>
    <t>MAGNETS FOR DISTRIBUTION</t>
  </si>
  <si>
    <t>MAGNETS in Lae</t>
  </si>
  <si>
    <t>Yahe Nets</t>
  </si>
  <si>
    <t>ANC Yahe Nets Lae</t>
  </si>
  <si>
    <t>Stock sheet status</t>
  </si>
  <si>
    <t>Comments</t>
  </si>
  <si>
    <t>TCKU 2415060</t>
  </si>
  <si>
    <t>RAM Origional</t>
  </si>
  <si>
    <t>same</t>
  </si>
  <si>
    <t>Ram Origional Nets</t>
  </si>
  <si>
    <t>For Positive Patients</t>
  </si>
  <si>
    <t>TCKU 1510925</t>
  </si>
  <si>
    <t>Global Fund</t>
  </si>
  <si>
    <t>Same</t>
  </si>
  <si>
    <t>EFM Lae</t>
  </si>
  <si>
    <t>Morobe Nets</t>
  </si>
  <si>
    <t>TCKU 1603946</t>
  </si>
  <si>
    <t>TCKU 1893260</t>
  </si>
  <si>
    <t>TCKU 1915414</t>
  </si>
  <si>
    <t>TCKU 2789692</t>
  </si>
  <si>
    <t>Removed from Oro Container</t>
  </si>
  <si>
    <t>CBHU 4047501</t>
  </si>
  <si>
    <t>GFS POM</t>
  </si>
  <si>
    <t>Central Province nets</t>
  </si>
  <si>
    <t>MSUU 2140809</t>
  </si>
  <si>
    <t>GATU 0494263</t>
  </si>
  <si>
    <t>CBHU - 5705295</t>
  </si>
  <si>
    <t>SDP</t>
  </si>
  <si>
    <t>ANC</t>
  </si>
  <si>
    <t>CBHU - 5659306</t>
  </si>
  <si>
    <t>FCIU - 3110233</t>
  </si>
  <si>
    <t>DFSU - 2027730</t>
  </si>
  <si>
    <t>HJLU 1351462</t>
  </si>
  <si>
    <t>WNBP New arrivals in Lae</t>
  </si>
  <si>
    <t>HJLU 1353871</t>
  </si>
  <si>
    <t>HJLU 1356905</t>
  </si>
  <si>
    <t>HJLU 1379618</t>
  </si>
  <si>
    <t>HJLU 1390181</t>
  </si>
  <si>
    <t>HJLU 1396209</t>
  </si>
  <si>
    <t>TEMU 4471010</t>
  </si>
  <si>
    <t>TGHU 0454865</t>
  </si>
  <si>
    <t>TGHU 1097490</t>
  </si>
  <si>
    <t>TGHU 1692174</t>
  </si>
  <si>
    <t>TGHU 1752205</t>
  </si>
  <si>
    <t>TGHU 1840414</t>
  </si>
  <si>
    <t>GATU 1369100</t>
  </si>
  <si>
    <t>ANC New Arrivals</t>
  </si>
  <si>
    <t>TEMU 2987136</t>
  </si>
  <si>
    <t>TEXU 16088313</t>
  </si>
  <si>
    <t>TGHU 0154750</t>
  </si>
  <si>
    <t>TGHU 0426610</t>
  </si>
  <si>
    <t>TGHU 0441180</t>
  </si>
  <si>
    <t>CLHU 3722945</t>
  </si>
  <si>
    <t>EFM Lae-ETA 14.10.25</t>
  </si>
  <si>
    <t>East New Britain Nets - New Arrivals</t>
  </si>
  <si>
    <t>CLHU 3834689</t>
  </si>
  <si>
    <t>GATU 1285859</t>
  </si>
  <si>
    <t>TEMU 2999564</t>
  </si>
  <si>
    <t>TEMU 3325448</t>
  </si>
  <si>
    <t>TGHU 0320280</t>
  </si>
  <si>
    <t>TGHU 1016837</t>
  </si>
  <si>
    <t>TGHU 1548613</t>
  </si>
  <si>
    <t>TGHU 3952331</t>
  </si>
  <si>
    <t>TGHU 3953169</t>
  </si>
  <si>
    <t>XINU 1295102</t>
  </si>
  <si>
    <t>CLHU 3863603</t>
  </si>
  <si>
    <t>New arrivals ANC</t>
  </si>
  <si>
    <t>AMFU 3238531</t>
  </si>
  <si>
    <t>CLHU 3833759</t>
  </si>
  <si>
    <t>AROB Nets - New Arrivals</t>
  </si>
  <si>
    <t>CLHU 3876365</t>
  </si>
  <si>
    <t>TEMU 4110125</t>
  </si>
  <si>
    <t>TGHU 0144216</t>
  </si>
  <si>
    <t>TGHU 0575229</t>
  </si>
  <si>
    <t>TGHU 0594785</t>
  </si>
  <si>
    <t>TGHU 0676754</t>
  </si>
  <si>
    <t>TGHU 0906332</t>
  </si>
  <si>
    <t>TGHU 1201270</t>
  </si>
  <si>
    <t>TGHU 30901442</t>
  </si>
  <si>
    <t>TGHU 3903450</t>
  </si>
  <si>
    <t xml:space="preserve">CURRENT STOCK </t>
  </si>
  <si>
    <t>MAGNETS HH DiSTributiON</t>
  </si>
  <si>
    <t>YAHE HH DISTRIBUTION</t>
  </si>
  <si>
    <t>ANC NETS FOR SDP</t>
  </si>
  <si>
    <t>YAHE NETS FOR ANC</t>
  </si>
  <si>
    <t>RAM ORIGIONAL NETS</t>
  </si>
  <si>
    <t>EFM LAE</t>
  </si>
  <si>
    <t>TOTALS</t>
  </si>
  <si>
    <t>Artemether + Lumefantrine Tab., 20+120mg, blister, 24x1</t>
  </si>
  <si>
    <t>03/11/25</t>
  </si>
  <si>
    <t>25/10/25</t>
  </si>
  <si>
    <t>24/10/25</t>
  </si>
  <si>
    <t>27/10/25</t>
  </si>
  <si>
    <t>30/04/26</t>
  </si>
  <si>
    <t>30/11/25</t>
  </si>
  <si>
    <t>18000/20000 received on the 20.08.2025</t>
  </si>
  <si>
    <t>05/11/25</t>
  </si>
  <si>
    <t>04/11/25</t>
  </si>
  <si>
    <t>Borneo; 998,900/1000 000 received on: 27.05.2025; 700 additional received on the 06.11.2025</t>
  </si>
  <si>
    <t>T1APH001</t>
  </si>
  <si>
    <t>HEW104157</t>
  </si>
  <si>
    <t>HEW114157</t>
  </si>
  <si>
    <t>D1APH006</t>
  </si>
  <si>
    <t>T35809</t>
  </si>
  <si>
    <t>75J11245</t>
  </si>
  <si>
    <t>TBA</t>
  </si>
  <si>
    <t>1140 received on the 24.11.25</t>
  </si>
  <si>
    <t>CIAPH005</t>
  </si>
  <si>
    <t>D1AP007</t>
  </si>
  <si>
    <t>C1APH004</t>
  </si>
  <si>
    <t>7200 partially received on the 08.12.2025</t>
  </si>
  <si>
    <t>partly received on the 08.12.2025</t>
  </si>
  <si>
    <t>37500/200000 received 30.10.2025-RFQ25; partially received in Jan 2026</t>
  </si>
  <si>
    <t>10,000 Al 80mg fully received on the 30.12.2026</t>
  </si>
  <si>
    <t>75,600 partially received on the 08.01.2026</t>
  </si>
  <si>
    <t>received on the 19.11.25; 24,600 balance fully supplied by Modern on 03.02.26</t>
  </si>
  <si>
    <t>Fully received on the 03.02.2026 from Modern</t>
  </si>
  <si>
    <t>Fully received on the 05.02.2026 from Modern</t>
  </si>
  <si>
    <t>7,200 was received on the 29.01.2026 from Modern</t>
  </si>
  <si>
    <t>Fully  received on the 29.01.2026 from Modern</t>
  </si>
  <si>
    <t>Fully received on the 23.02.2026 from Modern</t>
  </si>
  <si>
    <t>Fully received on the 02.02.2026 from Modern</t>
  </si>
  <si>
    <t>12,500 received on the 13.11.2025; 200,000 balance supplied on the 29.01.2026 from Modern</t>
  </si>
  <si>
    <t>partly received on the 20th &amp; 24th Nov 2025; balance of 22,800 fully received on the 20.02.2026 from Modern</t>
  </si>
  <si>
    <t>partially received on the 08.12.2025; Outstanding 200,000 fully received on the 04.02.2026</t>
  </si>
  <si>
    <t>STOCK ON HAND IN PNG AS OF 6TH OF MARCH 2026</t>
  </si>
  <si>
    <t>STOCK ON HAND IN PNG AS OF 6TH of MARCH 2026</t>
  </si>
  <si>
    <t>D1APH003</t>
  </si>
  <si>
    <t>TIAPH003</t>
  </si>
  <si>
    <t>TIAPH004</t>
  </si>
  <si>
    <t>O30825</t>
  </si>
  <si>
    <t>T35811</t>
  </si>
  <si>
    <t>HOO6E002D</t>
  </si>
  <si>
    <t>HOO6E005D</t>
  </si>
  <si>
    <t>T1APH003</t>
  </si>
  <si>
    <t>31/10/2028</t>
  </si>
  <si>
    <t>T1APH004</t>
  </si>
  <si>
    <t>T1APH005</t>
  </si>
  <si>
    <t>T1APH006</t>
  </si>
  <si>
    <t>C1APH003</t>
  </si>
  <si>
    <t>31/07/2028</t>
  </si>
  <si>
    <t>O20825</t>
  </si>
  <si>
    <t>H006E005D</t>
  </si>
  <si>
    <t>31/10/2027</t>
  </si>
  <si>
    <t>O90324</t>
  </si>
  <si>
    <t>HWE094006</t>
  </si>
  <si>
    <t>8 month stock expected. ETA: 30.03.26</t>
  </si>
  <si>
    <t>2 months stock expected ETA: 30.03.26</t>
  </si>
  <si>
    <t>5 months stock expected ETA: 30.03.26</t>
  </si>
  <si>
    <t>6 month stock expected ETA: TBA</t>
  </si>
  <si>
    <t>20th of March 2026</t>
  </si>
  <si>
    <t>STOCK ON HAND IN PNG AS OF 20TH OF MARCH 2026</t>
  </si>
  <si>
    <t>Fully received PQ from CPL on 06.03.206</t>
  </si>
  <si>
    <t>Art Inj 40 mg fully received on 18.03.2026</t>
  </si>
  <si>
    <t>partly received on the 20th &amp; 24th Nov 2025; balance of 22,800 fully received on the 09.03.2026 from Modern</t>
  </si>
  <si>
    <t>7 month stock expected; ETA: 5th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</si>
</sst>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(* #,##0_);_(* \(#,##0\);_(* &quot;-&quot;??_);_(@_)"/>
    <numFmt numFmtId="168" formatCode="[$-409]mmm/yy;@"/>
    <numFmt numFmtId="169" formatCode="_-* #,##0_-;\-* #,##0_-;_-* &quot;-&quot;??_-;_-@_-"/>
    <numFmt numFmtId="170" formatCode="[$-409]mmm\-yy;@"/>
    <numFmt numFmtId="171" formatCode="[$-409]d\-mmm\-yy;@"/>
    <numFmt numFmtId="172" formatCode="_(* #,##0.0_);_(* \(#,##0.0\);_(* &quot;-&quot;??_);_(@_)"/>
    <numFmt numFmtId="173" formatCode="0.0"/>
    <numFmt numFmtId="174" formatCode="_(* #,##0.0_);_(* \(#,##0.0\);_(* &quot;-&quot;_);_(@_)"/>
    <numFmt numFmtId="175" formatCode="_-* #,##0.0_-;\-* #,##0.0_-;_-* &quot;-&quot;??_-;_-@_-"/>
  </numFmts>
  <fonts count="1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  <family val="2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b/>
      <sz val="9"/>
      <color theme="2" tint="-0.749992370372631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i/>
      <sz val="9"/>
      <color theme="2" tint="-0.749992370372631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color theme="1" tint="0.249977111117893"/>
      <name val="Calibri"/>
      <family val="2"/>
      <scheme val="minor"/>
    </font>
    <font>
      <b/>
      <i/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9"/>
      <color rgb="FFFF0000"/>
      <name val="Calibri"/>
      <family val="2"/>
      <scheme val="minor"/>
    </font>
    <font>
      <b/>
      <sz val="10"/>
      <name val="Verdana"/>
      <family val="2"/>
    </font>
    <font>
      <i/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C99"/>
      <name val="Calibri"/>
      <family val="2"/>
      <scheme val="minor"/>
    </font>
    <font>
      <b/>
      <sz val="9"/>
      <color theme="5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sz val="9"/>
      <color theme="5"/>
      <name val="Calibri"/>
      <family val="2"/>
      <scheme val="minor"/>
    </font>
    <font>
      <i/>
      <sz val="9"/>
      <color theme="8" tint="-0.499984740745262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sz val="9"/>
      <color theme="7" tint="-0.499984740745262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i/>
      <sz val="9"/>
      <color theme="5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"/>
      <name val="Calibri"/>
      <family val="2"/>
    </font>
    <font>
      <sz val="9"/>
      <color theme="4"/>
      <name val="Calibri"/>
      <family val="2"/>
      <scheme val="minor"/>
    </font>
    <font>
      <sz val="9"/>
      <color rgb="FF0066CC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sz val="9"/>
      <name val="Calibri"/>
      <family val="2"/>
    </font>
    <font>
      <sz val="9"/>
      <color rgb="FFC7090E"/>
      <name val="Calibri"/>
      <family val="2"/>
      <scheme val="minor"/>
    </font>
    <font>
      <i/>
      <sz val="9"/>
      <color theme="4"/>
      <name val="Calibri"/>
      <family val="2"/>
      <scheme val="minor"/>
    </font>
    <font>
      <b/>
      <sz val="14"/>
      <color theme="1" tint="0.14999847407452621"/>
      <name val="Calibri"/>
      <family val="2"/>
      <scheme val="minor"/>
    </font>
    <font>
      <b/>
      <i/>
      <sz val="14"/>
      <color theme="4" tint="-0.499984740745262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theme="1" tint="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12"/>
      <color rgb="FF222222"/>
      <name val="Arial"/>
      <family val="2"/>
    </font>
    <font>
      <sz val="9"/>
      <color theme="4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theme="5"/>
      <name val="Calibri"/>
      <family val="2"/>
      <scheme val="minor"/>
    </font>
    <font>
      <i/>
      <sz val="12"/>
      <color theme="9" tint="-0.499984740745262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theme="1" tint="0.34998626667073579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sz val="12"/>
      <color rgb="FF0070C0"/>
      <name val="Calibri"/>
      <family val="2"/>
      <scheme val="minor"/>
    </font>
    <font>
      <sz val="9"/>
      <color theme="1"/>
      <name val="Calibri"/>
      <family val="2"/>
    </font>
    <font>
      <b/>
      <sz val="11"/>
      <color rgb="FF000000"/>
      <name val="Verdana"/>
      <family val="2"/>
    </font>
    <font>
      <sz val="11"/>
      <color rgb="FF0000FF"/>
      <name val="Verdana"/>
      <family val="2"/>
    </font>
    <font>
      <sz val="11"/>
      <color rgb="FF000000"/>
      <name val="Verdana"/>
      <family val="2"/>
    </font>
    <font>
      <b/>
      <sz val="11"/>
      <color rgb="FF0000FF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50005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b/>
      <sz val="11"/>
      <color rgb="FFFA7D00"/>
      <name val="Calibri"/>
      <family val="2"/>
      <scheme val="minor"/>
    </font>
    <font>
      <b/>
      <sz val="11"/>
      <color theme="1"/>
      <name val="Arial"/>
      <family val="2"/>
    </font>
    <font>
      <sz val="12"/>
      <name val="Calibri"/>
      <family val="2"/>
      <scheme val="minor"/>
    </font>
    <font>
      <sz val="9"/>
      <color rgb="FFFFFF00"/>
      <name val="Calibri"/>
      <family val="2"/>
      <scheme val="minor"/>
    </font>
    <font>
      <sz val="14"/>
      <color theme="1" tint="0.14999847407452621"/>
      <name val="Calibri"/>
      <family val="2"/>
      <scheme val="minor"/>
    </font>
    <font>
      <i/>
      <sz val="14"/>
      <color theme="4" tint="-0.499984740745262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8" tint="0.59999389629810485"/>
      </patternFill>
    </fill>
    <fill>
      <patternFill patternType="solid">
        <fgColor theme="4" tint="0.59999389629810485"/>
        <bgColor theme="8" tint="0.79998168889431442"/>
      </patternFill>
    </fill>
    <fill>
      <patternFill patternType="solid">
        <fgColor theme="4" tint="0.39997558519241921"/>
        <bgColor theme="8" tint="0.59999389629810485"/>
      </patternFill>
    </fill>
    <fill>
      <patternFill patternType="solid">
        <fgColor theme="4" tint="0.39997558519241921"/>
        <bgColor theme="8" tint="0.79998168889431442"/>
      </patternFill>
    </fill>
    <fill>
      <patternFill patternType="solid">
        <fgColor theme="4" tint="0.79998168889431442"/>
        <bgColor theme="8" tint="0.59999389629810485"/>
      </patternFill>
    </fill>
    <fill>
      <patternFill patternType="solid">
        <fgColor theme="4" tint="0.79998168889431442"/>
        <bgColor theme="8" tint="0.79998168889431442"/>
      </patternFill>
    </fill>
    <fill>
      <patternFill patternType="solid">
        <fgColor theme="0"/>
        <bgColor theme="8" tint="0.59999389629810485"/>
      </patternFill>
    </fill>
    <fill>
      <patternFill patternType="solid">
        <fgColor theme="0"/>
        <bgColor theme="8" tint="0.79998168889431442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5" fillId="0" borderId="0"/>
    <xf numFmtId="0" fontId="126" fillId="39" borderId="65" applyNumberFormat="0" applyAlignment="0" applyProtection="0"/>
  </cellStyleXfs>
  <cellXfs count="1053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0" fontId="0" fillId="0" borderId="2" xfId="0" applyBorder="1"/>
    <xf numFmtId="166" fontId="0" fillId="3" borderId="1" xfId="0" applyNumberFormat="1" applyFill="1" applyBorder="1" applyAlignment="1">
      <alignment wrapText="1"/>
    </xf>
    <xf numFmtId="166" fontId="0" fillId="3" borderId="1" xfId="0" applyNumberFormat="1" applyFill="1" applyBorder="1"/>
    <xf numFmtId="0" fontId="4" fillId="0" borderId="0" xfId="0" applyFont="1"/>
    <xf numFmtId="3" fontId="9" fillId="0" borderId="0" xfId="0" applyNumberFormat="1" applyFont="1"/>
    <xf numFmtId="0" fontId="9" fillId="0" borderId="0" xfId="0" applyFont="1"/>
    <xf numFmtId="0" fontId="8" fillId="0" borderId="0" xfId="0" applyFont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Font="1" applyFill="1" applyBorder="1"/>
    <xf numFmtId="3" fontId="4" fillId="3" borderId="1" xfId="0" applyNumberFormat="1" applyFont="1" applyFill="1" applyBorder="1"/>
    <xf numFmtId="3" fontId="0" fillId="4" borderId="1" xfId="0" applyNumberFormat="1" applyFill="1" applyBorder="1" applyAlignment="1">
      <alignment horizontal="center" vertical="center" wrapText="1"/>
    </xf>
    <xf numFmtId="3" fontId="4" fillId="4" borderId="1" xfId="0" applyNumberFormat="1" applyFont="1" applyFill="1" applyBorder="1"/>
    <xf numFmtId="0" fontId="10" fillId="0" borderId="0" xfId="0" applyFont="1"/>
    <xf numFmtId="167" fontId="0" fillId="0" borderId="0" xfId="1" applyNumberFormat="1" applyFont="1"/>
    <xf numFmtId="0" fontId="4" fillId="0" borderId="0" xfId="0" applyFont="1" applyAlignment="1">
      <alignment wrapText="1"/>
    </xf>
    <xf numFmtId="0" fontId="3" fillId="0" borderId="0" xfId="0" applyFont="1"/>
    <xf numFmtId="0" fontId="14" fillId="0" borderId="0" xfId="0" applyFont="1"/>
    <xf numFmtId="0" fontId="14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/>
    <xf numFmtId="3" fontId="14" fillId="4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center"/>
    </xf>
    <xf numFmtId="0" fontId="21" fillId="0" borderId="0" xfId="0" applyFont="1"/>
    <xf numFmtId="0" fontId="24" fillId="0" borderId="0" xfId="0" applyFont="1"/>
    <xf numFmtId="0" fontId="26" fillId="0" borderId="1" xfId="0" applyFont="1" applyBorder="1"/>
    <xf numFmtId="0" fontId="19" fillId="0" borderId="0" xfId="0" applyFont="1" applyAlignment="1">
      <alignment horizontal="center"/>
    </xf>
    <xf numFmtId="3" fontId="16" fillId="0" borderId="0" xfId="0" applyNumberFormat="1" applyFont="1"/>
    <xf numFmtId="0" fontId="16" fillId="3" borderId="1" xfId="0" applyFont="1" applyFill="1" applyBorder="1" applyAlignment="1">
      <alignment vertical="center"/>
    </xf>
    <xf numFmtId="0" fontId="17" fillId="0" borderId="0" xfId="0" applyFont="1"/>
    <xf numFmtId="0" fontId="27" fillId="0" borderId="0" xfId="0" applyFont="1"/>
    <xf numFmtId="3" fontId="27" fillId="3" borderId="1" xfId="0" applyNumberFormat="1" applyFont="1" applyFill="1" applyBorder="1" applyAlignment="1">
      <alignment horizontal="center"/>
    </xf>
    <xf numFmtId="0" fontId="28" fillId="0" borderId="1" xfId="0" applyFont="1" applyBorder="1"/>
    <xf numFmtId="167" fontId="18" fillId="0" borderId="0" xfId="0" applyNumberFormat="1" applyFont="1"/>
    <xf numFmtId="4" fontId="4" fillId="0" borderId="13" xfId="0" applyNumberFormat="1" applyFont="1" applyBorder="1"/>
    <xf numFmtId="168" fontId="0" fillId="0" borderId="22" xfId="0" applyNumberFormat="1" applyBorder="1"/>
    <xf numFmtId="3" fontId="5" fillId="0" borderId="0" xfId="0" applyNumberFormat="1" applyFont="1"/>
    <xf numFmtId="0" fontId="32" fillId="10" borderId="40" xfId="0" applyFont="1" applyFill="1" applyBorder="1" applyAlignment="1">
      <alignment vertical="center"/>
    </xf>
    <xf numFmtId="0" fontId="32" fillId="10" borderId="41" xfId="0" applyFont="1" applyFill="1" applyBorder="1" applyAlignment="1">
      <alignment vertical="center"/>
    </xf>
    <xf numFmtId="0" fontId="32" fillId="10" borderId="41" xfId="0" applyFont="1" applyFill="1" applyBorder="1" applyAlignment="1">
      <alignment horizontal="left" vertical="center"/>
    </xf>
    <xf numFmtId="0" fontId="32" fillId="9" borderId="40" xfId="0" applyFont="1" applyFill="1" applyBorder="1" applyAlignment="1">
      <alignment vertical="center"/>
    </xf>
    <xf numFmtId="0" fontId="32" fillId="9" borderId="41" xfId="0" applyFont="1" applyFill="1" applyBorder="1" applyAlignment="1">
      <alignment vertical="center"/>
    </xf>
    <xf numFmtId="0" fontId="32" fillId="9" borderId="41" xfId="0" applyFont="1" applyFill="1" applyBorder="1" applyAlignment="1">
      <alignment horizontal="left" vertical="center"/>
    </xf>
    <xf numFmtId="167" fontId="13" fillId="9" borderId="41" xfId="1" applyNumberFormat="1" applyFont="1" applyFill="1" applyBorder="1"/>
    <xf numFmtId="167" fontId="13" fillId="9" borderId="42" xfId="1" applyNumberFormat="1" applyFont="1" applyFill="1" applyBorder="1"/>
    <xf numFmtId="167" fontId="13" fillId="10" borderId="41" xfId="1" applyNumberFormat="1" applyFont="1" applyFill="1" applyBorder="1"/>
    <xf numFmtId="0" fontId="32" fillId="9" borderId="42" xfId="0" applyFont="1" applyFill="1" applyBorder="1" applyAlignment="1">
      <alignment vertical="center"/>
    </xf>
    <xf numFmtId="0" fontId="31" fillId="9" borderId="41" xfId="0" applyFont="1" applyFill="1" applyBorder="1"/>
    <xf numFmtId="0" fontId="31" fillId="9" borderId="42" xfId="0" applyFont="1" applyFill="1" applyBorder="1"/>
    <xf numFmtId="0" fontId="32" fillId="10" borderId="42" xfId="0" applyFont="1" applyFill="1" applyBorder="1" applyAlignment="1">
      <alignment vertical="center"/>
    </xf>
    <xf numFmtId="0" fontId="31" fillId="9" borderId="40" xfId="0" applyFont="1" applyFill="1" applyBorder="1"/>
    <xf numFmtId="0" fontId="31" fillId="9" borderId="41" xfId="0" applyFont="1" applyFill="1" applyBorder="1" applyAlignment="1">
      <alignment horizontal="left"/>
    </xf>
    <xf numFmtId="0" fontId="13" fillId="9" borderId="41" xfId="0" applyFont="1" applyFill="1" applyBorder="1"/>
    <xf numFmtId="0" fontId="13" fillId="9" borderId="41" xfId="0" applyFont="1" applyFill="1" applyBorder="1" applyAlignment="1">
      <alignment horizontal="left"/>
    </xf>
    <xf numFmtId="0" fontId="13" fillId="9" borderId="41" xfId="0" applyFont="1" applyFill="1" applyBorder="1" applyAlignment="1">
      <alignment horizontal="right"/>
    </xf>
    <xf numFmtId="0" fontId="13" fillId="10" borderId="41" xfId="0" applyFont="1" applyFill="1" applyBorder="1"/>
    <xf numFmtId="0" fontId="13" fillId="10" borderId="41" xfId="0" applyFont="1" applyFill="1" applyBorder="1" applyAlignment="1">
      <alignment horizontal="left"/>
    </xf>
    <xf numFmtId="0" fontId="13" fillId="10" borderId="41" xfId="0" applyFont="1" applyFill="1" applyBorder="1" applyAlignment="1">
      <alignment horizontal="right"/>
    </xf>
    <xf numFmtId="0" fontId="33" fillId="9" borderId="43" xfId="0" applyFont="1" applyFill="1" applyBorder="1" applyAlignment="1">
      <alignment vertical="center"/>
    </xf>
    <xf numFmtId="0" fontId="33" fillId="9" borderId="44" xfId="0" applyFont="1" applyFill="1" applyBorder="1" applyAlignment="1">
      <alignment vertical="center"/>
    </xf>
    <xf numFmtId="0" fontId="33" fillId="9" borderId="44" xfId="0" applyFont="1" applyFill="1" applyBorder="1" applyAlignment="1">
      <alignment horizontal="left" vertical="center"/>
    </xf>
    <xf numFmtId="0" fontId="33" fillId="9" borderId="45" xfId="0" applyFont="1" applyFill="1" applyBorder="1" applyAlignment="1">
      <alignment vertical="center"/>
    </xf>
    <xf numFmtId="14" fontId="13" fillId="10" borderId="41" xfId="0" applyNumberFormat="1" applyFont="1" applyFill="1" applyBorder="1" applyAlignment="1">
      <alignment horizontal="left"/>
    </xf>
    <xf numFmtId="167" fontId="33" fillId="9" borderId="44" xfId="1" applyNumberFormat="1" applyFont="1" applyFill="1" applyBorder="1" applyAlignment="1">
      <alignment horizontal="center" vertical="center" wrapText="1"/>
    </xf>
    <xf numFmtId="167" fontId="32" fillId="10" borderId="41" xfId="1" applyNumberFormat="1" applyFont="1" applyFill="1" applyBorder="1" applyAlignment="1">
      <alignment vertical="center"/>
    </xf>
    <xf numFmtId="167" fontId="31" fillId="9" borderId="41" xfId="1" applyNumberFormat="1" applyFont="1" applyFill="1" applyBorder="1"/>
    <xf numFmtId="167" fontId="32" fillId="10" borderId="42" xfId="1" applyNumberFormat="1" applyFont="1" applyFill="1" applyBorder="1" applyAlignment="1">
      <alignment vertical="center"/>
    </xf>
    <xf numFmtId="167" fontId="13" fillId="9" borderId="41" xfId="1" applyNumberFormat="1" applyFont="1" applyFill="1" applyBorder="1" applyAlignment="1">
      <alignment horizontal="right"/>
    </xf>
    <xf numFmtId="167" fontId="13" fillId="10" borderId="41" xfId="1" applyNumberFormat="1" applyFont="1" applyFill="1" applyBorder="1" applyAlignment="1">
      <alignment horizontal="right"/>
    </xf>
    <xf numFmtId="167" fontId="32" fillId="9" borderId="41" xfId="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3" fillId="10" borderId="42" xfId="0" applyFont="1" applyFill="1" applyBorder="1"/>
    <xf numFmtId="0" fontId="13" fillId="9" borderId="42" xfId="0" applyFont="1" applyFill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6" fillId="0" borderId="7" xfId="0" applyFont="1" applyBorder="1" applyAlignment="1">
      <alignment horizontal="left" vertical="center" wrapText="1"/>
    </xf>
    <xf numFmtId="0" fontId="21" fillId="11" borderId="1" xfId="0" applyFont="1" applyFill="1" applyBorder="1"/>
    <xf numFmtId="167" fontId="21" fillId="11" borderId="1" xfId="1" applyNumberFormat="1" applyFont="1" applyFill="1" applyBorder="1"/>
    <xf numFmtId="167" fontId="22" fillId="11" borderId="1" xfId="1" applyNumberFormat="1" applyFont="1" applyFill="1" applyBorder="1"/>
    <xf numFmtId="164" fontId="21" fillId="11" borderId="1" xfId="1" applyNumberFormat="1" applyFont="1" applyFill="1" applyBorder="1"/>
    <xf numFmtId="167" fontId="18" fillId="11" borderId="9" xfId="0" applyNumberFormat="1" applyFont="1" applyFill="1" applyBorder="1"/>
    <xf numFmtId="164" fontId="16" fillId="11" borderId="14" xfId="0" applyNumberFormat="1" applyFont="1" applyFill="1" applyBorder="1"/>
    <xf numFmtId="0" fontId="21" fillId="11" borderId="6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37" fillId="0" borderId="0" xfId="0" applyFont="1"/>
    <xf numFmtId="0" fontId="25" fillId="0" borderId="1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24" fillId="0" borderId="6" xfId="0" applyFont="1" applyBorder="1" applyAlignment="1">
      <alignment horizontal="center" wrapText="1"/>
    </xf>
    <xf numFmtId="14" fontId="31" fillId="9" borderId="41" xfId="0" applyNumberFormat="1" applyFont="1" applyFill="1" applyBorder="1" applyAlignment="1">
      <alignment horizontal="left"/>
    </xf>
    <xf numFmtId="14" fontId="13" fillId="9" borderId="4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3" fontId="0" fillId="0" borderId="21" xfId="0" quotePrefix="1" applyNumberFormat="1" applyBorder="1"/>
    <xf numFmtId="4" fontId="6" fillId="0" borderId="13" xfId="0" applyNumberFormat="1" applyFont="1" applyBorder="1" applyAlignment="1" applyProtection="1">
      <alignment horizontal="right" vertical="center" wrapText="1"/>
      <protection locked="0"/>
    </xf>
    <xf numFmtId="3" fontId="10" fillId="0" borderId="30" xfId="0" applyNumberFormat="1" applyFont="1" applyBorder="1"/>
    <xf numFmtId="0" fontId="10" fillId="0" borderId="30" xfId="0" applyFont="1" applyBorder="1"/>
    <xf numFmtId="3" fontId="15" fillId="0" borderId="31" xfId="0" applyNumberFormat="1" applyFont="1" applyBorder="1"/>
    <xf numFmtId="3" fontId="15" fillId="5" borderId="31" xfId="0" applyNumberFormat="1" applyFont="1" applyFill="1" applyBorder="1"/>
    <xf numFmtId="3" fontId="10" fillId="3" borderId="23" xfId="0" applyNumberFormat="1" applyFont="1" applyFill="1" applyBorder="1"/>
    <xf numFmtId="3" fontId="10" fillId="4" borderId="23" xfId="0" applyNumberFormat="1" applyFont="1" applyFill="1" applyBorder="1"/>
    <xf numFmtId="0" fontId="38" fillId="0" borderId="9" xfId="0" applyFont="1" applyBorder="1" applyAlignment="1">
      <alignment wrapText="1"/>
    </xf>
    <xf numFmtId="3" fontId="38" fillId="0" borderId="9" xfId="0" applyNumberFormat="1" applyFont="1" applyBorder="1" applyAlignment="1">
      <alignment vertical="center"/>
    </xf>
    <xf numFmtId="3" fontId="38" fillId="0" borderId="9" xfId="0" applyNumberFormat="1" applyFont="1" applyBorder="1"/>
    <xf numFmtId="3" fontId="38" fillId="0" borderId="14" xfId="0" applyNumberFormat="1" applyFont="1" applyBorder="1" applyAlignment="1">
      <alignment horizontal="right" vertical="center"/>
    </xf>
    <xf numFmtId="3" fontId="38" fillId="4" borderId="9" xfId="0" applyNumberFormat="1" applyFont="1" applyFill="1" applyBorder="1" applyAlignment="1">
      <alignment horizontal="right" vertical="center"/>
    </xf>
    <xf numFmtId="0" fontId="14" fillId="0" borderId="31" xfId="0" applyFont="1" applyBorder="1" applyAlignment="1">
      <alignment wrapText="1"/>
    </xf>
    <xf numFmtId="3" fontId="14" fillId="0" borderId="31" xfId="0" applyNumberFormat="1" applyFont="1" applyBorder="1" applyAlignment="1">
      <alignment vertical="center"/>
    </xf>
    <xf numFmtId="3" fontId="14" fillId="0" borderId="31" xfId="0" applyNumberFormat="1" applyFont="1" applyBorder="1"/>
    <xf numFmtId="3" fontId="14" fillId="0" borderId="31" xfId="0" applyNumberFormat="1" applyFont="1" applyBorder="1" applyAlignment="1">
      <alignment horizontal="right" vertical="center"/>
    </xf>
    <xf numFmtId="0" fontId="7" fillId="0" borderId="0" xfId="0" applyFont="1"/>
    <xf numFmtId="0" fontId="20" fillId="0" borderId="0" xfId="0" applyFont="1"/>
    <xf numFmtId="0" fontId="2" fillId="0" borderId="0" xfId="0" applyFont="1"/>
    <xf numFmtId="0" fontId="17" fillId="3" borderId="1" xfId="0" applyFont="1" applyFill="1" applyBorder="1"/>
    <xf numFmtId="3" fontId="17" fillId="3" borderId="1" xfId="0" applyNumberFormat="1" applyFont="1" applyFill="1" applyBorder="1" applyAlignment="1">
      <alignment horizontal="center"/>
    </xf>
    <xf numFmtId="0" fontId="33" fillId="9" borderId="44" xfId="0" applyFont="1" applyFill="1" applyBorder="1" applyAlignment="1">
      <alignment vertical="center" wrapText="1"/>
    </xf>
    <xf numFmtId="167" fontId="33" fillId="9" borderId="44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0" fontId="41" fillId="0" borderId="1" xfId="0" applyFont="1" applyBorder="1" applyAlignment="1">
      <alignment vertical="center" wrapText="1"/>
    </xf>
    <xf numFmtId="0" fontId="21" fillId="0" borderId="25" xfId="0" applyFont="1" applyBorder="1" applyAlignment="1">
      <alignment horizontal="center"/>
    </xf>
    <xf numFmtId="0" fontId="21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6" fillId="0" borderId="48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10" borderId="40" xfId="0" applyFont="1" applyFill="1" applyBorder="1"/>
    <xf numFmtId="0" fontId="17" fillId="0" borderId="6" xfId="0" applyFont="1" applyBorder="1" applyAlignment="1">
      <alignment horizontal="left" vertical="center" wrapText="1"/>
    </xf>
    <xf numFmtId="0" fontId="42" fillId="0" borderId="0" xfId="0" applyFont="1"/>
    <xf numFmtId="0" fontId="10" fillId="0" borderId="23" xfId="0" applyFont="1" applyBorder="1"/>
    <xf numFmtId="0" fontId="7" fillId="8" borderId="1" xfId="0" applyFont="1" applyFill="1" applyBorder="1"/>
    <xf numFmtId="3" fontId="7" fillId="8" borderId="1" xfId="0" applyNumberFormat="1" applyFont="1" applyFill="1" applyBorder="1"/>
    <xf numFmtId="0" fontId="20" fillId="7" borderId="13" xfId="0" applyFont="1" applyFill="1" applyBorder="1" applyAlignment="1">
      <alignment horizontal="center"/>
    </xf>
    <xf numFmtId="167" fontId="21" fillId="7" borderId="1" xfId="1" applyNumberFormat="1" applyFont="1" applyFill="1" applyBorder="1"/>
    <xf numFmtId="0" fontId="20" fillId="8" borderId="13" xfId="0" applyFont="1" applyFill="1" applyBorder="1" applyAlignment="1">
      <alignment horizontal="center"/>
    </xf>
    <xf numFmtId="167" fontId="21" fillId="8" borderId="1" xfId="1" applyNumberFormat="1" applyFont="1" applyFill="1" applyBorder="1"/>
    <xf numFmtId="167" fontId="22" fillId="8" borderId="1" xfId="1" applyNumberFormat="1" applyFont="1" applyFill="1" applyBorder="1"/>
    <xf numFmtId="164" fontId="21" fillId="8" borderId="1" xfId="1" applyNumberFormat="1" applyFont="1" applyFill="1" applyBorder="1"/>
    <xf numFmtId="167" fontId="18" fillId="8" borderId="9" xfId="1" applyNumberFormat="1" applyFont="1" applyFill="1" applyBorder="1" applyAlignment="1">
      <alignment vertical="center"/>
    </xf>
    <xf numFmtId="167" fontId="18" fillId="8" borderId="1" xfId="1" applyNumberFormat="1" applyFont="1" applyFill="1" applyBorder="1"/>
    <xf numFmtId="167" fontId="25" fillId="8" borderId="1" xfId="1" applyNumberFormat="1" applyFont="1" applyFill="1" applyBorder="1" applyAlignment="1">
      <alignment horizontal="left" vertical="center"/>
    </xf>
    <xf numFmtId="164" fontId="25" fillId="8" borderId="1" xfId="1" applyNumberFormat="1" applyFont="1" applyFill="1" applyBorder="1" applyAlignment="1">
      <alignment horizontal="left" vertical="center"/>
    </xf>
    <xf numFmtId="167" fontId="28" fillId="8" borderId="1" xfId="1" applyNumberFormat="1" applyFont="1" applyFill="1" applyBorder="1"/>
    <xf numFmtId="167" fontId="29" fillId="8" borderId="1" xfId="1" applyNumberFormat="1" applyFont="1" applyFill="1" applyBorder="1"/>
    <xf numFmtId="164" fontId="30" fillId="8" borderId="1" xfId="1" applyNumberFormat="1" applyFont="1" applyFill="1" applyBorder="1" applyAlignment="1">
      <alignment vertical="center"/>
    </xf>
    <xf numFmtId="164" fontId="28" fillId="8" borderId="1" xfId="1" applyNumberFormat="1" applyFont="1" applyFill="1" applyBorder="1"/>
    <xf numFmtId="0" fontId="43" fillId="11" borderId="1" xfId="0" applyFont="1" applyFill="1" applyBorder="1"/>
    <xf numFmtId="167" fontId="25" fillId="7" borderId="1" xfId="1" applyNumberFormat="1" applyFont="1" applyFill="1" applyBorder="1" applyAlignment="1">
      <alignment horizontal="left" vertical="center"/>
    </xf>
    <xf numFmtId="167" fontId="28" fillId="7" borderId="1" xfId="1" applyNumberFormat="1" applyFont="1" applyFill="1" applyBorder="1"/>
    <xf numFmtId="167" fontId="25" fillId="13" borderId="9" xfId="0" applyNumberFormat="1" applyFont="1" applyFill="1" applyBorder="1" applyAlignment="1">
      <alignment horizontal="left" vertical="center"/>
    </xf>
    <xf numFmtId="164" fontId="25" fillId="13" borderId="14" xfId="0" applyNumberFormat="1" applyFont="1" applyFill="1" applyBorder="1" applyAlignment="1">
      <alignment horizontal="left" vertical="center"/>
    </xf>
    <xf numFmtId="167" fontId="29" fillId="13" borderId="9" xfId="0" applyNumberFormat="1" applyFont="1" applyFill="1" applyBorder="1"/>
    <xf numFmtId="164" fontId="28" fillId="13" borderId="14" xfId="0" applyNumberFormat="1" applyFont="1" applyFill="1" applyBorder="1"/>
    <xf numFmtId="164" fontId="23" fillId="13" borderId="3" xfId="0" applyNumberFormat="1" applyFont="1" applyFill="1" applyBorder="1"/>
    <xf numFmtId="167" fontId="18" fillId="13" borderId="9" xfId="0" applyNumberFormat="1" applyFont="1" applyFill="1" applyBorder="1"/>
    <xf numFmtId="167" fontId="21" fillId="13" borderId="9" xfId="0" applyNumberFormat="1" applyFont="1" applyFill="1" applyBorder="1"/>
    <xf numFmtId="164" fontId="21" fillId="13" borderId="14" xfId="0" applyNumberFormat="1" applyFont="1" applyFill="1" applyBorder="1"/>
    <xf numFmtId="167" fontId="20" fillId="13" borderId="9" xfId="0" applyNumberFormat="1" applyFont="1" applyFill="1" applyBorder="1" applyAlignment="1">
      <alignment vertical="center"/>
    </xf>
    <xf numFmtId="167" fontId="18" fillId="13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3" fontId="42" fillId="0" borderId="0" xfId="0" applyNumberFormat="1" applyFont="1"/>
    <xf numFmtId="0" fontId="44" fillId="0" borderId="0" xfId="0" applyFont="1"/>
    <xf numFmtId="3" fontId="7" fillId="8" borderId="1" xfId="1" applyNumberFormat="1" applyFont="1" applyFill="1" applyBorder="1" applyAlignment="1">
      <alignment horizontal="right"/>
    </xf>
    <xf numFmtId="3" fontId="7" fillId="8" borderId="1" xfId="1" applyNumberFormat="1" applyFont="1" applyFill="1" applyBorder="1"/>
    <xf numFmtId="3" fontId="47" fillId="0" borderId="0" xfId="0" applyNumberFormat="1" applyFont="1"/>
    <xf numFmtId="0" fontId="4" fillId="13" borderId="1" xfId="0" applyFont="1" applyFill="1" applyBorder="1"/>
    <xf numFmtId="3" fontId="4" fillId="13" borderId="1" xfId="0" applyNumberFormat="1" applyFont="1" applyFill="1" applyBorder="1"/>
    <xf numFmtId="3" fontId="4" fillId="13" borderId="0" xfId="0" applyNumberFormat="1" applyFont="1" applyFill="1"/>
    <xf numFmtId="0" fontId="10" fillId="13" borderId="1" xfId="0" applyFont="1" applyFill="1" applyBorder="1"/>
    <xf numFmtId="3" fontId="10" fillId="13" borderId="1" xfId="0" applyNumberFormat="1" applyFont="1" applyFill="1" applyBorder="1"/>
    <xf numFmtId="0" fontId="15" fillId="13" borderId="1" xfId="0" applyFont="1" applyFill="1" applyBorder="1"/>
    <xf numFmtId="3" fontId="15" fillId="13" borderId="9" xfId="0" applyNumberFormat="1" applyFont="1" applyFill="1" applyBorder="1" applyAlignment="1">
      <alignment horizontal="center"/>
    </xf>
    <xf numFmtId="3" fontId="45" fillId="0" borderId="0" xfId="0" applyNumberFormat="1" applyFont="1"/>
    <xf numFmtId="3" fontId="15" fillId="6" borderId="9" xfId="0" applyNumberFormat="1" applyFont="1" applyFill="1" applyBorder="1" applyAlignment="1">
      <alignment horizontal="center"/>
    </xf>
    <xf numFmtId="0" fontId="10" fillId="6" borderId="1" xfId="0" applyFont="1" applyFill="1" applyBorder="1"/>
    <xf numFmtId="3" fontId="10" fillId="6" borderId="1" xfId="0" applyNumberFormat="1" applyFont="1" applyFill="1" applyBorder="1"/>
    <xf numFmtId="0" fontId="0" fillId="6" borderId="1" xfId="0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 vertical="center" wrapText="1"/>
    </xf>
    <xf numFmtId="0" fontId="4" fillId="6" borderId="1" xfId="0" applyFont="1" applyFill="1" applyBorder="1"/>
    <xf numFmtId="3" fontId="4" fillId="6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7" fillId="17" borderId="1" xfId="0" applyFont="1" applyFill="1" applyBorder="1"/>
    <xf numFmtId="3" fontId="17" fillId="17" borderId="1" xfId="0" applyNumberFormat="1" applyFont="1" applyFill="1" applyBorder="1" applyAlignment="1">
      <alignment horizontal="center"/>
    </xf>
    <xf numFmtId="0" fontId="16" fillId="17" borderId="1" xfId="0" applyFont="1" applyFill="1" applyBorder="1" applyAlignment="1">
      <alignment vertical="center"/>
    </xf>
    <xf numFmtId="3" fontId="17" fillId="17" borderId="1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0" fontId="43" fillId="18" borderId="1" xfId="0" applyFont="1" applyFill="1" applyBorder="1"/>
    <xf numFmtId="0" fontId="51" fillId="18" borderId="1" xfId="0" applyFont="1" applyFill="1" applyBorder="1"/>
    <xf numFmtId="167" fontId="51" fillId="18" borderId="1" xfId="1" applyNumberFormat="1" applyFont="1" applyFill="1" applyBorder="1"/>
    <xf numFmtId="167" fontId="52" fillId="18" borderId="1" xfId="1" applyNumberFormat="1" applyFont="1" applyFill="1" applyBorder="1"/>
    <xf numFmtId="164" fontId="51" fillId="18" borderId="1" xfId="1" applyNumberFormat="1" applyFont="1" applyFill="1" applyBorder="1"/>
    <xf numFmtId="167" fontId="52" fillId="18" borderId="9" xfId="0" applyNumberFormat="1" applyFont="1" applyFill="1" applyBorder="1"/>
    <xf numFmtId="164" fontId="51" fillId="18" borderId="14" xfId="0" applyNumberFormat="1" applyFont="1" applyFill="1" applyBorder="1"/>
    <xf numFmtId="0" fontId="51" fillId="18" borderId="10" xfId="0" applyFont="1" applyFill="1" applyBorder="1" applyAlignment="1">
      <alignment horizontal="center"/>
    </xf>
    <xf numFmtId="0" fontId="51" fillId="18" borderId="11" xfId="0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0" fontId="50" fillId="14" borderId="0" xfId="0" applyFont="1" applyFill="1" applyAlignment="1">
      <alignment horizontal="left"/>
    </xf>
    <xf numFmtId="3" fontId="3" fillId="0" borderId="20" xfId="0" applyNumberFormat="1" applyFont="1" applyBorder="1" applyAlignment="1">
      <alignment horizontal="center" wrapText="1"/>
    </xf>
    <xf numFmtId="4" fontId="4" fillId="0" borderId="0" xfId="0" applyNumberFormat="1" applyFont="1"/>
    <xf numFmtId="168" fontId="0" fillId="0" borderId="0" xfId="0" applyNumberFormat="1"/>
    <xf numFmtId="3" fontId="0" fillId="19" borderId="50" xfId="0" applyNumberFormat="1" applyFill="1" applyBorder="1" applyAlignment="1">
      <alignment horizontal="left"/>
    </xf>
    <xf numFmtId="168" fontId="0" fillId="0" borderId="51" xfId="0" applyNumberFormat="1" applyBorder="1"/>
    <xf numFmtId="3" fontId="4" fillId="19" borderId="49" xfId="0" applyNumberFormat="1" applyFont="1" applyFill="1" applyBorder="1" applyAlignment="1">
      <alignment horizontal="left"/>
    </xf>
    <xf numFmtId="167" fontId="18" fillId="7" borderId="9" xfId="1" applyNumberFormat="1" applyFont="1" applyFill="1" applyBorder="1" applyAlignment="1">
      <alignment vertical="center"/>
    </xf>
    <xf numFmtId="167" fontId="20" fillId="7" borderId="1" xfId="1" applyNumberFormat="1" applyFont="1" applyFill="1" applyBorder="1" applyAlignment="1">
      <alignment vertical="center"/>
    </xf>
    <xf numFmtId="167" fontId="20" fillId="8" borderId="1" xfId="1" applyNumberFormat="1" applyFont="1" applyFill="1" applyBorder="1" applyAlignment="1">
      <alignment vertical="center"/>
    </xf>
    <xf numFmtId="167" fontId="18" fillId="7" borderId="1" xfId="1" applyNumberFormat="1" applyFont="1" applyFill="1" applyBorder="1" applyAlignment="1">
      <alignment vertical="center"/>
    </xf>
    <xf numFmtId="167" fontId="18" fillId="8" borderId="1" xfId="1" applyNumberFormat="1" applyFont="1" applyFill="1" applyBorder="1" applyAlignment="1">
      <alignment vertical="center"/>
    </xf>
    <xf numFmtId="0" fontId="18" fillId="0" borderId="1" xfId="0" applyFont="1" applyBorder="1"/>
    <xf numFmtId="167" fontId="18" fillId="7" borderId="1" xfId="1" applyNumberFormat="1" applyFont="1" applyFill="1" applyBorder="1"/>
    <xf numFmtId="164" fontId="18" fillId="8" borderId="1" xfId="1" applyNumberFormat="1" applyFont="1" applyFill="1" applyBorder="1"/>
    <xf numFmtId="164" fontId="18" fillId="13" borderId="14" xfId="0" applyNumberFormat="1" applyFont="1" applyFill="1" applyBorder="1"/>
    <xf numFmtId="0" fontId="0" fillId="0" borderId="0" xfId="1" applyNumberFormat="1" applyFont="1" applyFill="1" applyAlignment="1">
      <alignment horizontal="center"/>
    </xf>
    <xf numFmtId="0" fontId="53" fillId="0" borderId="0" xfId="0" applyFont="1"/>
    <xf numFmtId="0" fontId="0" fillId="0" borderId="19" xfId="0" applyBorder="1"/>
    <xf numFmtId="0" fontId="0" fillId="0" borderId="0" xfId="1" applyNumberFormat="1" applyFont="1" applyFill="1" applyBorder="1" applyAlignment="1">
      <alignment horizontal="center"/>
    </xf>
    <xf numFmtId="0" fontId="0" fillId="0" borderId="18" xfId="1" applyNumberFormat="1" applyFont="1" applyFill="1" applyBorder="1" applyAlignment="1">
      <alignment horizontal="center"/>
    </xf>
    <xf numFmtId="170" fontId="4" fillId="13" borderId="16" xfId="0" quotePrefix="1" applyNumberFormat="1" applyFont="1" applyFill="1" applyBorder="1" applyAlignment="1">
      <alignment horizontal="center"/>
    </xf>
    <xf numFmtId="17" fontId="4" fillId="13" borderId="17" xfId="0" quotePrefix="1" applyNumberFormat="1" applyFont="1" applyFill="1" applyBorder="1" applyAlignment="1">
      <alignment horizontal="center"/>
    </xf>
    <xf numFmtId="3" fontId="4" fillId="13" borderId="49" xfId="0" applyNumberFormat="1" applyFont="1" applyFill="1" applyBorder="1" applyAlignment="1">
      <alignment horizontal="left"/>
    </xf>
    <xf numFmtId="3" fontId="0" fillId="13" borderId="50" xfId="0" applyNumberFormat="1" applyFill="1" applyBorder="1" applyAlignment="1">
      <alignment horizontal="left"/>
    </xf>
    <xf numFmtId="170" fontId="4" fillId="13" borderId="0" xfId="0" quotePrefix="1" applyNumberFormat="1" applyFont="1" applyFill="1" applyAlignment="1">
      <alignment horizontal="center"/>
    </xf>
    <xf numFmtId="17" fontId="4" fillId="13" borderId="19" xfId="0" quotePrefix="1" applyNumberFormat="1" applyFont="1" applyFill="1" applyBorder="1" applyAlignment="1">
      <alignment horizontal="center"/>
    </xf>
    <xf numFmtId="3" fontId="0" fillId="13" borderId="18" xfId="0" applyNumberFormat="1" applyFill="1" applyBorder="1" applyAlignment="1">
      <alignment horizontal="center" wrapText="1"/>
    </xf>
    <xf numFmtId="167" fontId="4" fillId="13" borderId="16" xfId="1" applyNumberFormat="1" applyFont="1" applyFill="1" applyBorder="1"/>
    <xf numFmtId="167" fontId="4" fillId="13" borderId="0" xfId="1" applyNumberFormat="1" applyFont="1" applyFill="1" applyBorder="1"/>
    <xf numFmtId="170" fontId="7" fillId="13" borderId="0" xfId="0" quotePrefix="1" applyNumberFormat="1" applyFont="1" applyFill="1" applyAlignment="1">
      <alignment horizontal="center"/>
    </xf>
    <xf numFmtId="3" fontId="0" fillId="13" borderId="0" xfId="0" applyNumberFormat="1" applyFill="1" applyAlignment="1">
      <alignment horizontal="center"/>
    </xf>
    <xf numFmtId="3" fontId="0" fillId="13" borderId="0" xfId="0" applyNumberFormat="1" applyFill="1" applyAlignment="1">
      <alignment horizontal="center" wrapText="1"/>
    </xf>
    <xf numFmtId="3" fontId="3" fillId="0" borderId="2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13" borderId="18" xfId="0" applyFill="1" applyBorder="1" applyAlignment="1">
      <alignment horizontal="center" wrapText="1"/>
    </xf>
    <xf numFmtId="0" fontId="0" fillId="0" borderId="18" xfId="0" applyBorder="1"/>
    <xf numFmtId="0" fontId="4" fillId="13" borderId="19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167" fontId="4" fillId="13" borderId="15" xfId="1" applyNumberFormat="1" applyFont="1" applyFill="1" applyBorder="1"/>
    <xf numFmtId="167" fontId="4" fillId="13" borderId="17" xfId="1" applyNumberFormat="1" applyFont="1" applyFill="1" applyBorder="1"/>
    <xf numFmtId="167" fontId="4" fillId="13" borderId="18" xfId="1" applyNumberFormat="1" applyFont="1" applyFill="1" applyBorder="1"/>
    <xf numFmtId="167" fontId="4" fillId="13" borderId="19" xfId="1" applyNumberFormat="1" applyFont="1" applyFill="1" applyBorder="1"/>
    <xf numFmtId="167" fontId="0" fillId="13" borderId="19" xfId="1" applyNumberFormat="1" applyFont="1" applyFill="1" applyBorder="1"/>
    <xf numFmtId="167" fontId="2" fillId="13" borderId="18" xfId="1" applyNumberFormat="1" applyFont="1" applyFill="1" applyBorder="1"/>
    <xf numFmtId="3" fontId="0" fillId="0" borderId="22" xfId="0" applyNumberFormat="1" applyBorder="1"/>
    <xf numFmtId="0" fontId="54" fillId="0" borderId="0" xfId="0" applyFont="1"/>
    <xf numFmtId="167" fontId="54" fillId="13" borderId="0" xfId="1" applyNumberFormat="1" applyFont="1" applyFill="1" applyBorder="1"/>
    <xf numFmtId="0" fontId="54" fillId="0" borderId="21" xfId="0" applyFont="1" applyBorder="1"/>
    <xf numFmtId="0" fontId="26" fillId="0" borderId="0" xfId="1" applyNumberFormat="1" applyFont="1" applyFill="1" applyAlignment="1">
      <alignment horizontal="left"/>
    </xf>
    <xf numFmtId="167" fontId="2" fillId="13" borderId="0" xfId="1" applyNumberFormat="1" applyFont="1" applyFill="1" applyBorder="1"/>
    <xf numFmtId="3" fontId="4" fillId="13" borderId="50" xfId="0" applyNumberFormat="1" applyFont="1" applyFill="1" applyBorder="1" applyAlignment="1">
      <alignment horizontal="left"/>
    </xf>
    <xf numFmtId="3" fontId="4" fillId="13" borderId="18" xfId="0" applyNumberFormat="1" applyFont="1" applyFill="1" applyBorder="1" applyAlignment="1">
      <alignment horizontal="center" wrapText="1"/>
    </xf>
    <xf numFmtId="3" fontId="4" fillId="13" borderId="0" xfId="0" applyNumberFormat="1" applyFont="1" applyFill="1" applyAlignment="1">
      <alignment horizontal="center" wrapText="1"/>
    </xf>
    <xf numFmtId="0" fontId="33" fillId="9" borderId="44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right"/>
    </xf>
    <xf numFmtId="3" fontId="20" fillId="15" borderId="9" xfId="0" applyNumberFormat="1" applyFont="1" applyFill="1" applyBorder="1" applyAlignment="1">
      <alignment horizontal="center"/>
    </xf>
    <xf numFmtId="0" fontId="20" fillId="15" borderId="9" xfId="0" applyFont="1" applyFill="1" applyBorder="1"/>
    <xf numFmtId="0" fontId="20" fillId="8" borderId="1" xfId="0" applyFont="1" applyFill="1" applyBorder="1"/>
    <xf numFmtId="3" fontId="20" fillId="8" borderId="1" xfId="0" applyNumberFormat="1" applyFont="1" applyFill="1" applyBorder="1" applyAlignment="1">
      <alignment horizontal="center"/>
    </xf>
    <xf numFmtId="3" fontId="20" fillId="15" borderId="1" xfId="1" applyNumberFormat="1" applyFont="1" applyFill="1" applyBorder="1" applyAlignment="1">
      <alignment horizontal="center"/>
    </xf>
    <xf numFmtId="0" fontId="57" fillId="0" borderId="0" xfId="0" applyFont="1"/>
    <xf numFmtId="3" fontId="58" fillId="13" borderId="1" xfId="0" applyNumberFormat="1" applyFont="1" applyFill="1" applyBorder="1" applyAlignment="1">
      <alignment horizontal="center" vertical="center" wrapText="1"/>
    </xf>
    <xf numFmtId="3" fontId="58" fillId="13" borderId="1" xfId="0" applyNumberFormat="1" applyFont="1" applyFill="1" applyBorder="1"/>
    <xf numFmtId="3" fontId="59" fillId="8" borderId="1" xfId="0" applyNumberFormat="1" applyFont="1" applyFill="1" applyBorder="1"/>
    <xf numFmtId="0" fontId="61" fillId="0" borderId="0" xfId="0" applyFont="1"/>
    <xf numFmtId="0" fontId="46" fillId="12" borderId="27" xfId="0" applyFont="1" applyFill="1" applyBorder="1" applyAlignment="1">
      <alignment horizontal="center"/>
    </xf>
    <xf numFmtId="4" fontId="0" fillId="0" borderId="0" xfId="0" applyNumberFormat="1"/>
    <xf numFmtId="167" fontId="0" fillId="0" borderId="0" xfId="0" applyNumberFormat="1"/>
    <xf numFmtId="0" fontId="62" fillId="0" borderId="0" xfId="0" applyFont="1"/>
    <xf numFmtId="0" fontId="28" fillId="0" borderId="1" xfId="0" applyFont="1" applyBorder="1" applyAlignment="1">
      <alignment wrapText="1"/>
    </xf>
    <xf numFmtId="167" fontId="26" fillId="8" borderId="1" xfId="1" applyNumberFormat="1" applyFont="1" applyFill="1" applyBorder="1"/>
    <xf numFmtId="164" fontId="26" fillId="8" borderId="1" xfId="1" applyNumberFormat="1" applyFont="1" applyFill="1" applyBorder="1"/>
    <xf numFmtId="0" fontId="26" fillId="0" borderId="12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0" xfId="0" applyFont="1"/>
    <xf numFmtId="3" fontId="26" fillId="7" borderId="1" xfId="0" applyNumberFormat="1" applyFont="1" applyFill="1" applyBorder="1"/>
    <xf numFmtId="0" fontId="46" fillId="24" borderId="0" xfId="0" applyFont="1" applyFill="1"/>
    <xf numFmtId="0" fontId="0" fillId="24" borderId="0" xfId="0" applyFill="1" applyAlignment="1">
      <alignment horizontal="center"/>
    </xf>
    <xf numFmtId="0" fontId="0" fillId="24" borderId="0" xfId="1" applyNumberFormat="1" applyFont="1" applyFill="1" applyBorder="1" applyAlignment="1">
      <alignment horizontal="center"/>
    </xf>
    <xf numFmtId="3" fontId="0" fillId="24" borderId="0" xfId="0" applyNumberFormat="1" applyFill="1" applyAlignment="1">
      <alignment horizontal="center"/>
    </xf>
    <xf numFmtId="0" fontId="0" fillId="24" borderId="0" xfId="0" applyFill="1"/>
    <xf numFmtId="167" fontId="4" fillId="26" borderId="18" xfId="1" applyNumberFormat="1" applyFont="1" applyFill="1" applyBorder="1"/>
    <xf numFmtId="3" fontId="2" fillId="6" borderId="1" xfId="0" applyNumberFormat="1" applyFont="1" applyFill="1" applyBorder="1" applyAlignment="1">
      <alignment horizontal="right" vertical="center" wrapText="1"/>
    </xf>
    <xf numFmtId="3" fontId="10" fillId="8" borderId="1" xfId="0" applyNumberFormat="1" applyFont="1" applyFill="1" applyBorder="1"/>
    <xf numFmtId="3" fontId="4" fillId="26" borderId="18" xfId="0" applyNumberFormat="1" applyFont="1" applyFill="1" applyBorder="1" applyAlignment="1">
      <alignment horizontal="center" wrapText="1"/>
    </xf>
    <xf numFmtId="3" fontId="4" fillId="26" borderId="0" xfId="0" applyNumberFormat="1" applyFont="1" applyFill="1" applyAlignment="1">
      <alignment horizontal="center" wrapText="1"/>
    </xf>
    <xf numFmtId="0" fontId="4" fillId="26" borderId="19" xfId="0" applyFont="1" applyFill="1" applyBorder="1" applyAlignment="1">
      <alignment horizontal="center"/>
    </xf>
    <xf numFmtId="167" fontId="4" fillId="26" borderId="0" xfId="1" applyNumberFormat="1" applyFont="1" applyFill="1" applyBorder="1"/>
    <xf numFmtId="167" fontId="4" fillId="26" borderId="19" xfId="1" applyNumberFormat="1" applyFont="1" applyFill="1" applyBorder="1"/>
    <xf numFmtId="170" fontId="4" fillId="26" borderId="0" xfId="0" quotePrefix="1" applyNumberFormat="1" applyFont="1" applyFill="1" applyAlignment="1">
      <alignment horizontal="center"/>
    </xf>
    <xf numFmtId="17" fontId="4" fillId="26" borderId="19" xfId="0" quotePrefix="1" applyNumberFormat="1" applyFont="1" applyFill="1" applyBorder="1" applyAlignment="1">
      <alignment horizontal="center"/>
    </xf>
    <xf numFmtId="3" fontId="4" fillId="26" borderId="50" xfId="0" applyNumberFormat="1" applyFont="1" applyFill="1" applyBorder="1" applyAlignment="1">
      <alignment horizontal="left"/>
    </xf>
    <xf numFmtId="3" fontId="4" fillId="26" borderId="50" xfId="0" applyNumberFormat="1" applyFont="1" applyFill="1" applyBorder="1" applyAlignment="1">
      <alignment horizontal="left" wrapText="1"/>
    </xf>
    <xf numFmtId="0" fontId="64" fillId="0" borderId="0" xfId="0" applyFont="1"/>
    <xf numFmtId="3" fontId="65" fillId="25" borderId="18" xfId="0" applyNumberFormat="1" applyFont="1" applyFill="1" applyBorder="1" applyAlignment="1">
      <alignment horizontal="center" wrapText="1"/>
    </xf>
    <xf numFmtId="3" fontId="65" fillId="25" borderId="0" xfId="0" applyNumberFormat="1" applyFont="1" applyFill="1" applyAlignment="1">
      <alignment horizontal="center" wrapText="1"/>
    </xf>
    <xf numFmtId="0" fontId="65" fillId="25" borderId="19" xfId="0" applyFont="1" applyFill="1" applyBorder="1" applyAlignment="1">
      <alignment horizontal="center"/>
    </xf>
    <xf numFmtId="167" fontId="65" fillId="25" borderId="18" xfId="1" applyNumberFormat="1" applyFont="1" applyFill="1" applyBorder="1"/>
    <xf numFmtId="167" fontId="65" fillId="25" borderId="0" xfId="1" applyNumberFormat="1" applyFont="1" applyFill="1" applyBorder="1"/>
    <xf numFmtId="167" fontId="65" fillId="25" borderId="19" xfId="1" applyNumberFormat="1" applyFont="1" applyFill="1" applyBorder="1"/>
    <xf numFmtId="170" fontId="65" fillId="25" borderId="0" xfId="0" quotePrefix="1" applyNumberFormat="1" applyFont="1" applyFill="1" applyAlignment="1">
      <alignment horizontal="center"/>
    </xf>
    <xf numFmtId="17" fontId="65" fillId="25" borderId="19" xfId="0" quotePrefix="1" applyNumberFormat="1" applyFont="1" applyFill="1" applyBorder="1" applyAlignment="1">
      <alignment horizontal="center"/>
    </xf>
    <xf numFmtId="3" fontId="65" fillId="25" borderId="50" xfId="0" applyNumberFormat="1" applyFont="1" applyFill="1" applyBorder="1" applyAlignment="1">
      <alignment horizontal="left"/>
    </xf>
    <xf numFmtId="167" fontId="66" fillId="25" borderId="0" xfId="1" applyNumberFormat="1" applyFont="1" applyFill="1" applyBorder="1"/>
    <xf numFmtId="167" fontId="66" fillId="25" borderId="19" xfId="1" applyNumberFormat="1" applyFont="1" applyFill="1" applyBorder="1"/>
    <xf numFmtId="170" fontId="66" fillId="25" borderId="0" xfId="0" quotePrefix="1" applyNumberFormat="1" applyFont="1" applyFill="1" applyAlignment="1">
      <alignment horizontal="left"/>
    </xf>
    <xf numFmtId="17" fontId="66" fillId="25" borderId="19" xfId="0" quotePrefix="1" applyNumberFormat="1" applyFont="1" applyFill="1" applyBorder="1" applyAlignment="1">
      <alignment horizontal="center"/>
    </xf>
    <xf numFmtId="3" fontId="66" fillId="25" borderId="50" xfId="0" applyNumberFormat="1" applyFont="1" applyFill="1" applyBorder="1" applyAlignment="1">
      <alignment horizontal="left"/>
    </xf>
    <xf numFmtId="165" fontId="4" fillId="13" borderId="18" xfId="1" applyFont="1" applyFill="1" applyBorder="1"/>
    <xf numFmtId="165" fontId="4" fillId="13" borderId="0" xfId="1" applyFont="1" applyFill="1" applyBorder="1"/>
    <xf numFmtId="168" fontId="4" fillId="13" borderId="50" xfId="0" applyNumberFormat="1" applyFont="1" applyFill="1" applyBorder="1"/>
    <xf numFmtId="3" fontId="60" fillId="0" borderId="30" xfId="0" applyNumberFormat="1" applyFont="1" applyBorder="1"/>
    <xf numFmtId="3" fontId="1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/>
    <xf numFmtId="0" fontId="34" fillId="0" borderId="0" xfId="0" applyFont="1"/>
    <xf numFmtId="0" fontId="71" fillId="0" borderId="0" xfId="0" applyFont="1"/>
    <xf numFmtId="167" fontId="69" fillId="17" borderId="0" xfId="1" applyNumberFormat="1" applyFont="1" applyFill="1" applyBorder="1"/>
    <xf numFmtId="167" fontId="70" fillId="17" borderId="0" xfId="1" applyNumberFormat="1" applyFont="1" applyFill="1" applyBorder="1"/>
    <xf numFmtId="167" fontId="69" fillId="7" borderId="0" xfId="1" applyNumberFormat="1" applyFont="1" applyFill="1" applyBorder="1"/>
    <xf numFmtId="167" fontId="70" fillId="7" borderId="0" xfId="1" applyNumberFormat="1" applyFont="1" applyFill="1" applyBorder="1"/>
    <xf numFmtId="167" fontId="17" fillId="17" borderId="0" xfId="1" applyNumberFormat="1" applyFont="1" applyFill="1" applyBorder="1"/>
    <xf numFmtId="167" fontId="17" fillId="7" borderId="0" xfId="1" applyNumberFormat="1" applyFont="1" applyFill="1" applyBorder="1"/>
    <xf numFmtId="167" fontId="17" fillId="7" borderId="19" xfId="1" applyNumberFormat="1" applyFont="1" applyFill="1" applyBorder="1"/>
    <xf numFmtId="167" fontId="17" fillId="17" borderId="19" xfId="1" applyNumberFormat="1" applyFont="1" applyFill="1" applyBorder="1"/>
    <xf numFmtId="0" fontId="16" fillId="0" borderId="0" xfId="0" applyFont="1" applyAlignment="1">
      <alignment horizontal="center"/>
    </xf>
    <xf numFmtId="0" fontId="16" fillId="0" borderId="0" xfId="1" applyNumberFormat="1" applyFont="1" applyFill="1" applyBorder="1" applyAlignment="1">
      <alignment horizontal="center"/>
    </xf>
    <xf numFmtId="167" fontId="16" fillId="0" borderId="0" xfId="0" applyNumberFormat="1" applyFont="1"/>
    <xf numFmtId="0" fontId="72" fillId="0" borderId="0" xfId="0" applyFont="1"/>
    <xf numFmtId="0" fontId="69" fillId="0" borderId="0" xfId="0" applyFont="1"/>
    <xf numFmtId="0" fontId="73" fillId="0" borderId="0" xfId="0" applyFont="1"/>
    <xf numFmtId="167" fontId="26" fillId="13" borderId="1" xfId="1" applyNumberFormat="1" applyFont="1" applyFill="1" applyBorder="1"/>
    <xf numFmtId="0" fontId="46" fillId="0" borderId="0" xfId="0" applyFont="1"/>
    <xf numFmtId="3" fontId="16" fillId="3" borderId="18" xfId="0" applyNumberFormat="1" applyFont="1" applyFill="1" applyBorder="1" applyAlignment="1">
      <alignment horizontal="center" wrapText="1"/>
    </xf>
    <xf numFmtId="3" fontId="17" fillId="3" borderId="0" xfId="0" applyNumberFormat="1" applyFont="1" applyFill="1" applyAlignment="1">
      <alignment horizontal="center" wrapText="1"/>
    </xf>
    <xf numFmtId="0" fontId="16" fillId="3" borderId="0" xfId="0" applyFont="1" applyFill="1"/>
    <xf numFmtId="3" fontId="17" fillId="3" borderId="18" xfId="0" applyNumberFormat="1" applyFont="1" applyFill="1" applyBorder="1" applyAlignment="1">
      <alignment horizontal="center" wrapText="1"/>
    </xf>
    <xf numFmtId="0" fontId="17" fillId="3" borderId="0" xfId="0" applyFont="1" applyFill="1"/>
    <xf numFmtId="0" fontId="71" fillId="3" borderId="0" xfId="0" applyFont="1" applyFill="1"/>
    <xf numFmtId="167" fontId="17" fillId="16" borderId="0" xfId="1" applyNumberFormat="1" applyFont="1" applyFill="1" applyBorder="1"/>
    <xf numFmtId="167" fontId="69" fillId="16" borderId="0" xfId="1" applyNumberFormat="1" applyFont="1" applyFill="1" applyBorder="1"/>
    <xf numFmtId="167" fontId="36" fillId="16" borderId="0" xfId="1" applyNumberFormat="1" applyFont="1" applyFill="1" applyBorder="1"/>
    <xf numFmtId="168" fontId="17" fillId="7" borderId="50" xfId="0" applyNumberFormat="1" applyFont="1" applyFill="1" applyBorder="1"/>
    <xf numFmtId="3" fontId="17" fillId="7" borderId="0" xfId="1" applyNumberFormat="1" applyFont="1" applyFill="1" applyBorder="1"/>
    <xf numFmtId="167" fontId="36" fillId="7" borderId="0" xfId="1" applyNumberFormat="1" applyFont="1" applyFill="1" applyBorder="1"/>
    <xf numFmtId="0" fontId="74" fillId="3" borderId="0" xfId="0" applyFont="1" applyFill="1"/>
    <xf numFmtId="169" fontId="34" fillId="7" borderId="19" xfId="1" quotePrefix="1" applyNumberFormat="1" applyFont="1" applyFill="1" applyBorder="1" applyAlignment="1">
      <alignment horizontal="center"/>
    </xf>
    <xf numFmtId="3" fontId="75" fillId="21" borderId="18" xfId="0" applyNumberFormat="1" applyFont="1" applyFill="1" applyBorder="1" applyAlignment="1">
      <alignment horizontal="center" wrapText="1"/>
    </xf>
    <xf numFmtId="3" fontId="75" fillId="21" borderId="0" xfId="0" applyNumberFormat="1" applyFont="1" applyFill="1" applyAlignment="1">
      <alignment horizontal="center" wrapText="1"/>
    </xf>
    <xf numFmtId="0" fontId="75" fillId="21" borderId="19" xfId="0" applyFont="1" applyFill="1" applyBorder="1" applyAlignment="1">
      <alignment horizontal="center"/>
    </xf>
    <xf numFmtId="167" fontId="75" fillId="21" borderId="18" xfId="1" applyNumberFormat="1" applyFont="1" applyFill="1" applyBorder="1"/>
    <xf numFmtId="167" fontId="75" fillId="21" borderId="0" xfId="1" applyNumberFormat="1" applyFont="1" applyFill="1" applyBorder="1"/>
    <xf numFmtId="167" fontId="75" fillId="21" borderId="19" xfId="1" applyNumberFormat="1" applyFont="1" applyFill="1" applyBorder="1"/>
    <xf numFmtId="170" fontId="75" fillId="21" borderId="0" xfId="0" quotePrefix="1" applyNumberFormat="1" applyFont="1" applyFill="1" applyAlignment="1">
      <alignment horizontal="center"/>
    </xf>
    <xf numFmtId="17" fontId="75" fillId="21" borderId="19" xfId="0" quotePrefix="1" applyNumberFormat="1" applyFont="1" applyFill="1" applyBorder="1" applyAlignment="1">
      <alignment horizontal="center"/>
    </xf>
    <xf numFmtId="3" fontId="75" fillId="21" borderId="50" xfId="0" applyNumberFormat="1" applyFont="1" applyFill="1" applyBorder="1" applyAlignment="1">
      <alignment horizontal="left"/>
    </xf>
    <xf numFmtId="43" fontId="2" fillId="0" borderId="0" xfId="0" applyNumberFormat="1" applyFont="1"/>
    <xf numFmtId="3" fontId="75" fillId="25" borderId="18" xfId="0" applyNumberFormat="1" applyFont="1" applyFill="1" applyBorder="1" applyAlignment="1">
      <alignment horizontal="center" wrapText="1"/>
    </xf>
    <xf numFmtId="3" fontId="75" fillId="25" borderId="0" xfId="0" applyNumberFormat="1" applyFont="1" applyFill="1" applyAlignment="1">
      <alignment horizontal="center" wrapText="1"/>
    </xf>
    <xf numFmtId="0" fontId="75" fillId="25" borderId="19" xfId="0" applyFont="1" applyFill="1" applyBorder="1" applyAlignment="1">
      <alignment horizontal="center"/>
    </xf>
    <xf numFmtId="167" fontId="75" fillId="25" borderId="18" xfId="1" applyNumberFormat="1" applyFont="1" applyFill="1" applyBorder="1"/>
    <xf numFmtId="167" fontId="75" fillId="25" borderId="0" xfId="1" applyNumberFormat="1" applyFont="1" applyFill="1" applyBorder="1"/>
    <xf numFmtId="167" fontId="75" fillId="25" borderId="19" xfId="1" applyNumberFormat="1" applyFont="1" applyFill="1" applyBorder="1"/>
    <xf numFmtId="170" fontId="75" fillId="25" borderId="0" xfId="0" quotePrefix="1" applyNumberFormat="1" applyFont="1" applyFill="1" applyAlignment="1">
      <alignment horizontal="center"/>
    </xf>
    <xf numFmtId="17" fontId="75" fillId="25" borderId="19" xfId="0" quotePrefix="1" applyNumberFormat="1" applyFont="1" applyFill="1" applyBorder="1" applyAlignment="1">
      <alignment horizontal="center"/>
    </xf>
    <xf numFmtId="3" fontId="52" fillId="25" borderId="50" xfId="0" applyNumberFormat="1" applyFont="1" applyFill="1" applyBorder="1" applyAlignment="1">
      <alignment horizontal="left"/>
    </xf>
    <xf numFmtId="171" fontId="46" fillId="24" borderId="0" xfId="0" applyNumberFormat="1" applyFont="1" applyFill="1"/>
    <xf numFmtId="171" fontId="40" fillId="24" borderId="0" xfId="0" applyNumberFormat="1" applyFont="1" applyFill="1" applyAlignment="1">
      <alignment vertical="center"/>
    </xf>
    <xf numFmtId="171" fontId="40" fillId="24" borderId="21" xfId="0" applyNumberFormat="1" applyFont="1" applyFill="1" applyBorder="1" applyAlignment="1">
      <alignment vertical="center"/>
    </xf>
    <xf numFmtId="171" fontId="20" fillId="0" borderId="15" xfId="0" applyNumberFormat="1" applyFont="1" applyBorder="1" applyAlignment="1">
      <alignment horizontal="center"/>
    </xf>
    <xf numFmtId="171" fontId="20" fillId="0" borderId="17" xfId="0" applyNumberFormat="1" applyFont="1" applyBorder="1" applyAlignment="1">
      <alignment horizontal="center"/>
    </xf>
    <xf numFmtId="171" fontId="20" fillId="0" borderId="20" xfId="0" applyNumberFormat="1" applyFont="1" applyBorder="1" applyAlignment="1">
      <alignment horizontal="center" vertical="center"/>
    </xf>
    <xf numFmtId="171" fontId="20" fillId="0" borderId="22" xfId="0" applyNumberFormat="1" applyFont="1" applyBorder="1" applyAlignment="1">
      <alignment horizontal="center" vertical="center"/>
    </xf>
    <xf numFmtId="171" fontId="17" fillId="3" borderId="18" xfId="0" quotePrefix="1" applyNumberFormat="1" applyFont="1" applyFill="1" applyBorder="1" applyAlignment="1">
      <alignment horizontal="center"/>
    </xf>
    <xf numFmtId="171" fontId="17" fillId="3" borderId="19" xfId="0" quotePrefix="1" applyNumberFormat="1" applyFont="1" applyFill="1" applyBorder="1" applyAlignment="1">
      <alignment horizontal="center"/>
    </xf>
    <xf numFmtId="171" fontId="16" fillId="0" borderId="0" xfId="0" applyNumberFormat="1" applyFont="1"/>
    <xf numFmtId="171" fontId="0" fillId="0" borderId="0" xfId="0" applyNumberFormat="1"/>
    <xf numFmtId="167" fontId="80" fillId="12" borderId="0" xfId="0" applyNumberFormat="1" applyFont="1" applyFill="1" applyAlignment="1">
      <alignment vertical="center"/>
    </xf>
    <xf numFmtId="0" fontId="79" fillId="3" borderId="0" xfId="0" applyFont="1" applyFill="1" applyAlignment="1">
      <alignment vertical="center"/>
    </xf>
    <xf numFmtId="167" fontId="80" fillId="12" borderId="57" xfId="0" applyNumberFormat="1" applyFont="1" applyFill="1" applyBorder="1" applyAlignment="1">
      <alignment vertical="center"/>
    </xf>
    <xf numFmtId="168" fontId="80" fillId="12" borderId="22" xfId="0" applyNumberFormat="1" applyFont="1" applyFill="1" applyBorder="1" applyAlignment="1">
      <alignment vertical="center"/>
    </xf>
    <xf numFmtId="169" fontId="79" fillId="12" borderId="21" xfId="1" quotePrefix="1" applyNumberFormat="1" applyFont="1" applyFill="1" applyBorder="1" applyAlignment="1">
      <alignment vertical="center"/>
    </xf>
    <xf numFmtId="169" fontId="79" fillId="12" borderId="58" xfId="1" applyNumberFormat="1" applyFont="1" applyFill="1" applyBorder="1" applyAlignment="1">
      <alignment vertical="center"/>
    </xf>
    <xf numFmtId="167" fontId="82" fillId="12" borderId="0" xfId="0" applyNumberFormat="1" applyFont="1" applyFill="1" applyAlignment="1">
      <alignment vertical="center"/>
    </xf>
    <xf numFmtId="169" fontId="17" fillId="7" borderId="0" xfId="1" quotePrefix="1" applyNumberFormat="1" applyFont="1" applyFill="1" applyBorder="1" applyAlignment="1">
      <alignment horizontal="center"/>
    </xf>
    <xf numFmtId="0" fontId="85" fillId="0" borderId="0" xfId="0" applyFont="1" applyAlignment="1">
      <alignment horizontal="center"/>
    </xf>
    <xf numFmtId="167" fontId="36" fillId="7" borderId="19" xfId="1" applyNumberFormat="1" applyFont="1" applyFill="1" applyBorder="1"/>
    <xf numFmtId="0" fontId="85" fillId="0" borderId="18" xfId="0" applyFont="1" applyBorder="1" applyAlignment="1">
      <alignment horizontal="center"/>
    </xf>
    <xf numFmtId="14" fontId="85" fillId="0" borderId="19" xfId="0" applyNumberFormat="1" applyFont="1" applyBorder="1" applyAlignment="1">
      <alignment horizontal="center"/>
    </xf>
    <xf numFmtId="0" fontId="56" fillId="0" borderId="0" xfId="0" applyFont="1"/>
    <xf numFmtId="3" fontId="75" fillId="25" borderId="50" xfId="0" applyNumberFormat="1" applyFont="1" applyFill="1" applyBorder="1" applyAlignment="1">
      <alignment horizontal="left"/>
    </xf>
    <xf numFmtId="3" fontId="20" fillId="20" borderId="26" xfId="0" applyNumberFormat="1" applyFont="1" applyFill="1" applyBorder="1" applyAlignment="1">
      <alignment horizontal="center" wrapText="1"/>
    </xf>
    <xf numFmtId="3" fontId="81" fillId="20" borderId="27" xfId="0" applyNumberFormat="1" applyFont="1" applyFill="1" applyBorder="1" applyAlignment="1">
      <alignment horizontal="center" wrapText="1"/>
    </xf>
    <xf numFmtId="171" fontId="20" fillId="20" borderId="26" xfId="0" quotePrefix="1" applyNumberFormat="1" applyFont="1" applyFill="1" applyBorder="1" applyAlignment="1">
      <alignment horizontal="center"/>
    </xf>
    <xf numFmtId="171" fontId="20" fillId="20" borderId="47" xfId="0" quotePrefix="1" applyNumberFormat="1" applyFont="1" applyFill="1" applyBorder="1" applyAlignment="1">
      <alignment horizontal="center"/>
    </xf>
    <xf numFmtId="167" fontId="81" fillId="20" borderId="27" xfId="1" applyNumberFormat="1" applyFont="1" applyFill="1" applyBorder="1"/>
    <xf numFmtId="167" fontId="67" fillId="20" borderId="27" xfId="1" applyNumberFormat="1" applyFont="1" applyFill="1" applyBorder="1"/>
    <xf numFmtId="169" fontId="20" fillId="20" borderId="27" xfId="1" quotePrefix="1" applyNumberFormat="1" applyFont="1" applyFill="1" applyBorder="1" applyAlignment="1">
      <alignment horizontal="center"/>
    </xf>
    <xf numFmtId="169" fontId="27" fillId="20" borderId="47" xfId="1" quotePrefix="1" applyNumberFormat="1" applyFont="1" applyFill="1" applyBorder="1" applyAlignment="1">
      <alignment horizontal="center"/>
    </xf>
    <xf numFmtId="3" fontId="20" fillId="20" borderId="59" xfId="0" applyNumberFormat="1" applyFont="1" applyFill="1" applyBorder="1" applyAlignment="1">
      <alignment horizontal="left"/>
    </xf>
    <xf numFmtId="0" fontId="87" fillId="3" borderId="0" xfId="0" applyFont="1" applyFill="1"/>
    <xf numFmtId="168" fontId="91" fillId="7" borderId="50" xfId="0" applyNumberFormat="1" applyFont="1" applyFill="1" applyBorder="1"/>
    <xf numFmtId="3" fontId="86" fillId="3" borderId="18" xfId="0" applyNumberFormat="1" applyFont="1" applyFill="1" applyBorder="1" applyAlignment="1">
      <alignment horizontal="center" wrapText="1"/>
    </xf>
    <xf numFmtId="3" fontId="86" fillId="3" borderId="0" xfId="0" applyNumberFormat="1" applyFont="1" applyFill="1" applyAlignment="1">
      <alignment horizontal="center" wrapText="1"/>
    </xf>
    <xf numFmtId="171" fontId="86" fillId="3" borderId="18" xfId="0" quotePrefix="1" applyNumberFormat="1" applyFont="1" applyFill="1" applyBorder="1" applyAlignment="1">
      <alignment horizontal="center"/>
    </xf>
    <xf numFmtId="171" fontId="86" fillId="3" borderId="19" xfId="0" quotePrefix="1" applyNumberFormat="1" applyFont="1" applyFill="1" applyBorder="1" applyAlignment="1">
      <alignment horizontal="center"/>
    </xf>
    <xf numFmtId="167" fontId="86" fillId="16" borderId="0" xfId="1" applyNumberFormat="1" applyFont="1" applyFill="1" applyBorder="1"/>
    <xf numFmtId="167" fontId="92" fillId="16" borderId="0" xfId="1" applyNumberFormat="1" applyFont="1" applyFill="1" applyBorder="1"/>
    <xf numFmtId="167" fontId="86" fillId="7" borderId="0" xfId="1" applyNumberFormat="1" applyFont="1" applyFill="1" applyBorder="1"/>
    <xf numFmtId="167" fontId="86" fillId="7" borderId="19" xfId="1" applyNumberFormat="1" applyFont="1" applyFill="1" applyBorder="1"/>
    <xf numFmtId="167" fontId="92" fillId="7" borderId="0" xfId="1" applyNumberFormat="1" applyFont="1" applyFill="1" applyBorder="1"/>
    <xf numFmtId="169" fontId="86" fillId="7" borderId="0" xfId="1" quotePrefix="1" applyNumberFormat="1" applyFont="1" applyFill="1" applyBorder="1" applyAlignment="1">
      <alignment horizontal="center"/>
    </xf>
    <xf numFmtId="168" fontId="86" fillId="7" borderId="50" xfId="0" applyNumberFormat="1" applyFont="1" applyFill="1" applyBorder="1"/>
    <xf numFmtId="3" fontId="86" fillId="7" borderId="0" xfId="1" applyNumberFormat="1" applyFont="1" applyFill="1" applyBorder="1"/>
    <xf numFmtId="167" fontId="81" fillId="20" borderId="26" xfId="1" applyNumberFormat="1" applyFont="1" applyFill="1" applyBorder="1"/>
    <xf numFmtId="167" fontId="92" fillId="7" borderId="60" xfId="1" applyNumberFormat="1" applyFont="1" applyFill="1" applyBorder="1"/>
    <xf numFmtId="167" fontId="70" fillId="7" borderId="19" xfId="1" applyNumberFormat="1" applyFont="1" applyFill="1" applyBorder="1"/>
    <xf numFmtId="0" fontId="49" fillId="0" borderId="0" xfId="0" applyFont="1"/>
    <xf numFmtId="3" fontId="93" fillId="13" borderId="23" xfId="0" applyNumberFormat="1" applyFont="1" applyFill="1" applyBorder="1" applyAlignment="1">
      <alignment vertical="center"/>
    </xf>
    <xf numFmtId="3" fontId="93" fillId="13" borderId="1" xfId="0" applyNumberFormat="1" applyFont="1" applyFill="1" applyBorder="1" applyAlignment="1">
      <alignment vertical="center"/>
    </xf>
    <xf numFmtId="3" fontId="93" fillId="6" borderId="23" xfId="0" applyNumberFormat="1" applyFont="1" applyFill="1" applyBorder="1" applyAlignment="1">
      <alignment vertical="center"/>
    </xf>
    <xf numFmtId="3" fontId="93" fillId="6" borderId="1" xfId="0" applyNumberFormat="1" applyFont="1" applyFill="1" applyBorder="1" applyAlignment="1">
      <alignment horizontal="center" vertical="center"/>
    </xf>
    <xf numFmtId="3" fontId="93" fillId="6" borderId="1" xfId="0" applyNumberFormat="1" applyFont="1" applyFill="1" applyBorder="1" applyAlignment="1">
      <alignment vertical="center"/>
    </xf>
    <xf numFmtId="3" fontId="95" fillId="13" borderId="1" xfId="0" applyNumberFormat="1" applyFont="1" applyFill="1" applyBorder="1" applyAlignment="1">
      <alignment vertical="center" wrapText="1"/>
    </xf>
    <xf numFmtId="3" fontId="96" fillId="0" borderId="0" xfId="0" applyNumberFormat="1" applyFont="1"/>
    <xf numFmtId="0" fontId="96" fillId="0" borderId="0" xfId="0" applyFont="1"/>
    <xf numFmtId="3" fontId="95" fillId="6" borderId="9" xfId="0" applyNumberFormat="1" applyFont="1" applyFill="1" applyBorder="1" applyAlignment="1">
      <alignment vertical="center"/>
    </xf>
    <xf numFmtId="3" fontId="95" fillId="6" borderId="1" xfId="0" applyNumberFormat="1" applyFont="1" applyFill="1" applyBorder="1" applyAlignment="1">
      <alignment vertical="center"/>
    </xf>
    <xf numFmtId="0" fontId="97" fillId="0" borderId="0" xfId="0" applyFont="1"/>
    <xf numFmtId="3" fontId="95" fillId="0" borderId="31" xfId="0" applyNumberFormat="1" applyFont="1" applyBorder="1"/>
    <xf numFmtId="3" fontId="95" fillId="5" borderId="31" xfId="0" applyNumberFormat="1" applyFont="1" applyFill="1" applyBorder="1" applyAlignment="1">
      <alignment vertical="center"/>
    </xf>
    <xf numFmtId="171" fontId="20" fillId="20" borderId="27" xfId="0" quotePrefix="1" applyNumberFormat="1" applyFont="1" applyFill="1" applyBorder="1" applyAlignment="1">
      <alignment horizontal="center"/>
    </xf>
    <xf numFmtId="167" fontId="36" fillId="17" borderId="0" xfId="1" applyNumberFormat="1" applyFont="1" applyFill="1" applyBorder="1"/>
    <xf numFmtId="0" fontId="20" fillId="7" borderId="53" xfId="0" applyFont="1" applyFill="1" applyBorder="1" applyAlignment="1">
      <alignment horizontal="center"/>
    </xf>
    <xf numFmtId="167" fontId="51" fillId="18" borderId="3" xfId="1" applyNumberFormat="1" applyFont="1" applyFill="1" applyBorder="1"/>
    <xf numFmtId="167" fontId="21" fillId="7" borderId="3" xfId="1" applyNumberFormat="1" applyFont="1" applyFill="1" applyBorder="1"/>
    <xf numFmtId="167" fontId="20" fillId="7" borderId="3" xfId="1" applyNumberFormat="1" applyFont="1" applyFill="1" applyBorder="1" applyAlignment="1">
      <alignment vertical="center"/>
    </xf>
    <xf numFmtId="167" fontId="18" fillId="7" borderId="3" xfId="1" applyNumberFormat="1" applyFont="1" applyFill="1" applyBorder="1" applyAlignment="1">
      <alignment vertical="center"/>
    </xf>
    <xf numFmtId="167" fontId="18" fillId="7" borderId="14" xfId="1" applyNumberFormat="1" applyFont="1" applyFill="1" applyBorder="1" applyAlignment="1">
      <alignment vertical="center"/>
    </xf>
    <xf numFmtId="167" fontId="18" fillId="7" borderId="3" xfId="1" applyNumberFormat="1" applyFont="1" applyFill="1" applyBorder="1"/>
    <xf numFmtId="167" fontId="21" fillId="11" borderId="3" xfId="1" applyNumberFormat="1" applyFont="1" applyFill="1" applyBorder="1"/>
    <xf numFmtId="167" fontId="25" fillId="7" borderId="3" xfId="1" applyNumberFormat="1" applyFont="1" applyFill="1" applyBorder="1" applyAlignment="1">
      <alignment horizontal="left" vertical="center"/>
    </xf>
    <xf numFmtId="164" fontId="51" fillId="18" borderId="5" xfId="0" applyNumberFormat="1" applyFont="1" applyFill="1" applyBorder="1"/>
    <xf numFmtId="164" fontId="21" fillId="7" borderId="5" xfId="0" applyNumberFormat="1" applyFont="1" applyFill="1" applyBorder="1"/>
    <xf numFmtId="164" fontId="18" fillId="7" borderId="5" xfId="0" applyNumberFormat="1" applyFont="1" applyFill="1" applyBorder="1"/>
    <xf numFmtId="164" fontId="21" fillId="11" borderId="5" xfId="0" applyNumberFormat="1" applyFont="1" applyFill="1" applyBorder="1"/>
    <xf numFmtId="164" fontId="25" fillId="7" borderId="5" xfId="0" applyNumberFormat="1" applyFont="1" applyFill="1" applyBorder="1" applyAlignment="1">
      <alignment horizontal="left" vertical="center"/>
    </xf>
    <xf numFmtId="164" fontId="28" fillId="7" borderId="5" xfId="0" applyNumberFormat="1" applyFont="1" applyFill="1" applyBorder="1"/>
    <xf numFmtId="0" fontId="26" fillId="7" borderId="5" xfId="0" applyFont="1" applyFill="1" applyBorder="1"/>
    <xf numFmtId="167" fontId="11" fillId="7" borderId="63" xfId="1" applyNumberFormat="1" applyFont="1" applyFill="1" applyBorder="1" applyAlignment="1">
      <alignment vertical="center"/>
    </xf>
    <xf numFmtId="0" fontId="12" fillId="0" borderId="50" xfId="0" applyFont="1" applyBorder="1"/>
    <xf numFmtId="0" fontId="11" fillId="7" borderId="61" xfId="0" applyFont="1" applyFill="1" applyBorder="1" applyAlignment="1">
      <alignment horizontal="center"/>
    </xf>
    <xf numFmtId="167" fontId="98" fillId="18" borderId="62" xfId="1" applyNumberFormat="1" applyFont="1" applyFill="1" applyBorder="1"/>
    <xf numFmtId="167" fontId="99" fillId="7" borderId="63" xfId="1" applyNumberFormat="1" applyFont="1" applyFill="1" applyBorder="1"/>
    <xf numFmtId="167" fontId="12" fillId="7" borderId="63" xfId="1" applyNumberFormat="1" applyFont="1" applyFill="1" applyBorder="1"/>
    <xf numFmtId="167" fontId="99" fillId="11" borderId="62" xfId="1" applyNumberFormat="1" applyFont="1" applyFill="1" applyBorder="1"/>
    <xf numFmtId="167" fontId="100" fillId="7" borderId="62" xfId="1" applyNumberFormat="1" applyFont="1" applyFill="1" applyBorder="1" applyAlignment="1">
      <alignment horizontal="left" vertical="center"/>
    </xf>
    <xf numFmtId="167" fontId="101" fillId="7" borderId="62" xfId="1" applyNumberFormat="1" applyFont="1" applyFill="1" applyBorder="1"/>
    <xf numFmtId="167" fontId="102" fillId="7" borderId="62" xfId="0" applyNumberFormat="1" applyFont="1" applyFill="1" applyBorder="1"/>
    <xf numFmtId="164" fontId="84" fillId="7" borderId="5" xfId="0" applyNumberFormat="1" applyFont="1" applyFill="1" applyBorder="1" applyAlignment="1">
      <alignment vertical="center"/>
    </xf>
    <xf numFmtId="164" fontId="103" fillId="7" borderId="5" xfId="0" applyNumberFormat="1" applyFont="1" applyFill="1" applyBorder="1" applyAlignment="1">
      <alignment vertical="center"/>
    </xf>
    <xf numFmtId="164" fontId="103" fillId="7" borderId="55" xfId="0" applyNumberFormat="1" applyFont="1" applyFill="1" applyBorder="1" applyAlignment="1">
      <alignment vertical="center"/>
    </xf>
    <xf numFmtId="164" fontId="103" fillId="13" borderId="14" xfId="0" applyNumberFormat="1" applyFont="1" applyFill="1" applyBorder="1" applyAlignment="1">
      <alignment vertical="center"/>
    </xf>
    <xf numFmtId="0" fontId="12" fillId="0" borderId="21" xfId="0" applyFont="1" applyBorder="1"/>
    <xf numFmtId="0" fontId="16" fillId="0" borderId="21" xfId="0" applyFont="1" applyBorder="1"/>
    <xf numFmtId="3" fontId="16" fillId="3" borderId="0" xfId="0" applyNumberFormat="1" applyFont="1" applyFill="1" applyAlignment="1">
      <alignment horizontal="center" wrapText="1"/>
    </xf>
    <xf numFmtId="0" fontId="17" fillId="2" borderId="0" xfId="0" applyFont="1" applyFill="1"/>
    <xf numFmtId="3" fontId="45" fillId="0" borderId="0" xfId="0" applyNumberFormat="1" applyFont="1" applyAlignment="1">
      <alignment vertical="center"/>
    </xf>
    <xf numFmtId="3" fontId="104" fillId="0" borderId="0" xfId="0" applyNumberFormat="1" applyFont="1"/>
    <xf numFmtId="3" fontId="87" fillId="7" borderId="0" xfId="0" applyNumberFormat="1" applyFont="1" applyFill="1" applyAlignment="1">
      <alignment horizontal="left"/>
    </xf>
    <xf numFmtId="14" fontId="31" fillId="28" borderId="41" xfId="0" applyNumberFormat="1" applyFont="1" applyFill="1" applyBorder="1" applyAlignment="1">
      <alignment horizontal="left"/>
    </xf>
    <xf numFmtId="0" fontId="13" fillId="29" borderId="41" xfId="0" applyFont="1" applyFill="1" applyBorder="1"/>
    <xf numFmtId="167" fontId="13" fillId="29" borderId="41" xfId="1" applyNumberFormat="1" applyFont="1" applyFill="1" applyBorder="1"/>
    <xf numFmtId="0" fontId="31" fillId="28" borderId="42" xfId="0" applyFont="1" applyFill="1" applyBorder="1"/>
    <xf numFmtId="0" fontId="13" fillId="29" borderId="41" xfId="0" applyFont="1" applyFill="1" applyBorder="1" applyAlignment="1">
      <alignment horizontal="left"/>
    </xf>
    <xf numFmtId="14" fontId="13" fillId="29" borderId="41" xfId="0" applyNumberFormat="1" applyFont="1" applyFill="1" applyBorder="1" applyAlignment="1">
      <alignment horizontal="left"/>
    </xf>
    <xf numFmtId="0" fontId="13" fillId="31" borderId="41" xfId="0" applyFont="1" applyFill="1" applyBorder="1"/>
    <xf numFmtId="0" fontId="31" fillId="30" borderId="42" xfId="0" applyFont="1" applyFill="1" applyBorder="1"/>
    <xf numFmtId="14" fontId="13" fillId="31" borderId="41" xfId="0" applyNumberFormat="1" applyFont="1" applyFill="1" applyBorder="1" applyAlignment="1">
      <alignment horizontal="left"/>
    </xf>
    <xf numFmtId="0" fontId="31" fillId="32" borderId="41" xfId="0" applyFont="1" applyFill="1" applyBorder="1" applyAlignment="1">
      <alignment horizontal="left"/>
    </xf>
    <xf numFmtId="14" fontId="31" fillId="32" borderId="41" xfId="0" applyNumberFormat="1" applyFont="1" applyFill="1" applyBorder="1" applyAlignment="1">
      <alignment horizontal="left"/>
    </xf>
    <xf numFmtId="0" fontId="13" fillId="33" borderId="41" xfId="0" applyFont="1" applyFill="1" applyBorder="1"/>
    <xf numFmtId="167" fontId="13" fillId="33" borderId="41" xfId="1" applyNumberFormat="1" applyFont="1" applyFill="1" applyBorder="1"/>
    <xf numFmtId="0" fontId="31" fillId="32" borderId="42" xfId="0" applyFont="1" applyFill="1" applyBorder="1"/>
    <xf numFmtId="0" fontId="13" fillId="33" borderId="41" xfId="0" applyFont="1" applyFill="1" applyBorder="1" applyAlignment="1">
      <alignment horizontal="left"/>
    </xf>
    <xf numFmtId="14" fontId="13" fillId="33" borderId="41" xfId="0" applyNumberFormat="1" applyFont="1" applyFill="1" applyBorder="1" applyAlignment="1">
      <alignment horizontal="left"/>
    </xf>
    <xf numFmtId="0" fontId="13" fillId="33" borderId="40" xfId="0" applyFont="1" applyFill="1" applyBorder="1"/>
    <xf numFmtId="0" fontId="13" fillId="34" borderId="40" xfId="0" applyFont="1" applyFill="1" applyBorder="1" applyAlignment="1">
      <alignment horizontal="right"/>
    </xf>
    <xf numFmtId="0" fontId="31" fillId="35" borderId="41" xfId="0" applyFont="1" applyFill="1" applyBorder="1" applyAlignment="1">
      <alignment horizontal="left" vertical="center"/>
    </xf>
    <xf numFmtId="167" fontId="31" fillId="35" borderId="41" xfId="1" applyNumberFormat="1" applyFont="1" applyFill="1" applyBorder="1" applyAlignment="1">
      <alignment horizontal="left" vertical="center"/>
    </xf>
    <xf numFmtId="0" fontId="31" fillId="35" borderId="42" xfId="0" applyFont="1" applyFill="1" applyBorder="1" applyAlignment="1">
      <alignment horizontal="left" vertical="center"/>
    </xf>
    <xf numFmtId="0" fontId="32" fillId="29" borderId="40" xfId="0" applyFont="1" applyFill="1" applyBorder="1" applyAlignment="1">
      <alignment horizontal="left" vertical="center"/>
    </xf>
    <xf numFmtId="0" fontId="0" fillId="13" borderId="0" xfId="0" applyFill="1"/>
    <xf numFmtId="0" fontId="0" fillId="13" borderId="0" xfId="0" applyFill="1" applyAlignment="1">
      <alignment horizontal="left"/>
    </xf>
    <xf numFmtId="167" fontId="0" fillId="13" borderId="0" xfId="1" applyNumberFormat="1" applyFont="1" applyFill="1"/>
    <xf numFmtId="0" fontId="13" fillId="29" borderId="41" xfId="0" applyFont="1" applyFill="1" applyBorder="1" applyAlignment="1">
      <alignment horizontal="right"/>
    </xf>
    <xf numFmtId="167" fontId="13" fillId="29" borderId="41" xfId="1" applyNumberFormat="1" applyFont="1" applyFill="1" applyBorder="1" applyAlignment="1">
      <alignment horizontal="right"/>
    </xf>
    <xf numFmtId="167" fontId="13" fillId="28" borderId="41" xfId="1" applyNumberFormat="1" applyFont="1" applyFill="1" applyBorder="1"/>
    <xf numFmtId="1" fontId="13" fillId="9" borderId="40" xfId="0" quotePrefix="1" applyNumberFormat="1" applyFont="1" applyFill="1" applyBorder="1"/>
    <xf numFmtId="1" fontId="13" fillId="33" borderId="40" xfId="0" applyNumberFormat="1" applyFont="1" applyFill="1" applyBorder="1"/>
    <xf numFmtId="1" fontId="13" fillId="29" borderId="40" xfId="0" applyNumberFormat="1" applyFont="1" applyFill="1" applyBorder="1"/>
    <xf numFmtId="0" fontId="31" fillId="9" borderId="40" xfId="0" applyFont="1" applyFill="1" applyBorder="1" applyAlignment="1">
      <alignment horizontal="left"/>
    </xf>
    <xf numFmtId="0" fontId="13" fillId="10" borderId="40" xfId="0" applyFont="1" applyFill="1" applyBorder="1" applyAlignment="1">
      <alignment horizontal="left"/>
    </xf>
    <xf numFmtId="0" fontId="13" fillId="32" borderId="41" xfId="0" applyFont="1" applyFill="1" applyBorder="1"/>
    <xf numFmtId="0" fontId="13" fillId="28" borderId="41" xfId="0" applyFont="1" applyFill="1" applyBorder="1"/>
    <xf numFmtId="0" fontId="13" fillId="29" borderId="40" xfId="0" applyFont="1" applyFill="1" applyBorder="1" applyAlignment="1">
      <alignment horizontal="left" vertical="top"/>
    </xf>
    <xf numFmtId="0" fontId="13" fillId="10" borderId="40" xfId="0" applyFont="1" applyFill="1" applyBorder="1" applyAlignment="1">
      <alignment horizontal="left" vertical="top"/>
    </xf>
    <xf numFmtId="0" fontId="13" fillId="9" borderId="40" xfId="0" applyFont="1" applyFill="1" applyBorder="1" applyAlignment="1">
      <alignment horizontal="left"/>
    </xf>
    <xf numFmtId="0" fontId="13" fillId="29" borderId="42" xfId="0" applyFont="1" applyFill="1" applyBorder="1"/>
    <xf numFmtId="0" fontId="31" fillId="28" borderId="41" xfId="0" applyFont="1" applyFill="1" applyBorder="1"/>
    <xf numFmtId="167" fontId="31" fillId="28" borderId="41" xfId="1" applyNumberFormat="1" applyFont="1" applyFill="1" applyBorder="1"/>
    <xf numFmtId="0" fontId="13" fillId="28" borderId="41" xfId="0" applyFont="1" applyFill="1" applyBorder="1" applyAlignment="1">
      <alignment horizontal="left"/>
    </xf>
    <xf numFmtId="14" fontId="13" fillId="28" borderId="41" xfId="0" applyNumberFormat="1" applyFont="1" applyFill="1" applyBorder="1" applyAlignment="1">
      <alignment horizontal="left"/>
    </xf>
    <xf numFmtId="0" fontId="13" fillId="28" borderId="42" xfId="0" applyFont="1" applyFill="1" applyBorder="1"/>
    <xf numFmtId="0" fontId="13" fillId="28" borderId="40" xfId="0" applyFont="1" applyFill="1" applyBorder="1" applyAlignment="1">
      <alignment horizontal="left"/>
    </xf>
    <xf numFmtId="0" fontId="13" fillId="29" borderId="40" xfId="0" applyFont="1" applyFill="1" applyBorder="1" applyAlignment="1">
      <alignment horizontal="left"/>
    </xf>
    <xf numFmtId="0" fontId="31" fillId="28" borderId="40" xfId="0" applyFont="1" applyFill="1" applyBorder="1" applyAlignment="1">
      <alignment horizontal="left"/>
    </xf>
    <xf numFmtId="0" fontId="13" fillId="32" borderId="41" xfId="0" applyFont="1" applyFill="1" applyBorder="1" applyAlignment="1">
      <alignment horizontal="left"/>
    </xf>
    <xf numFmtId="14" fontId="13" fillId="32" borderId="41" xfId="0" applyNumberFormat="1" applyFont="1" applyFill="1" applyBorder="1" applyAlignment="1">
      <alignment horizontal="left"/>
    </xf>
    <xf numFmtId="167" fontId="13" fillId="32" borderId="41" xfId="1" applyNumberFormat="1" applyFont="1" applyFill="1" applyBorder="1"/>
    <xf numFmtId="0" fontId="13" fillId="32" borderId="42" xfId="0" applyFont="1" applyFill="1" applyBorder="1"/>
    <xf numFmtId="0" fontId="13" fillId="33" borderId="42" xfId="0" applyFont="1" applyFill="1" applyBorder="1"/>
    <xf numFmtId="0" fontId="31" fillId="32" borderId="41" xfId="0" applyFont="1" applyFill="1" applyBorder="1"/>
    <xf numFmtId="167" fontId="31" fillId="32" borderId="41" xfId="1" applyNumberFormat="1" applyFont="1" applyFill="1" applyBorder="1"/>
    <xf numFmtId="0" fontId="35" fillId="30" borderId="40" xfId="0" applyFont="1" applyFill="1" applyBorder="1" applyAlignment="1">
      <alignment vertical="center"/>
    </xf>
    <xf numFmtId="0" fontId="13" fillId="30" borderId="41" xfId="0" applyFont="1" applyFill="1" applyBorder="1"/>
    <xf numFmtId="0" fontId="13" fillId="30" borderId="41" xfId="0" applyFont="1" applyFill="1" applyBorder="1" applyAlignment="1">
      <alignment horizontal="left"/>
    </xf>
    <xf numFmtId="14" fontId="13" fillId="30" borderId="41" xfId="0" applyNumberFormat="1" applyFont="1" applyFill="1" applyBorder="1" applyAlignment="1">
      <alignment horizontal="left"/>
    </xf>
    <xf numFmtId="167" fontId="13" fillId="30" borderId="41" xfId="1" applyNumberFormat="1" applyFont="1" applyFill="1" applyBorder="1"/>
    <xf numFmtId="0" fontId="13" fillId="30" borderId="42" xfId="0" applyFont="1" applyFill="1" applyBorder="1"/>
    <xf numFmtId="0" fontId="13" fillId="31" borderId="41" xfId="0" applyFont="1" applyFill="1" applyBorder="1" applyAlignment="1">
      <alignment horizontal="left"/>
    </xf>
    <xf numFmtId="0" fontId="13" fillId="31" borderId="41" xfId="0" applyFont="1" applyFill="1" applyBorder="1" applyAlignment="1">
      <alignment horizontal="right"/>
    </xf>
    <xf numFmtId="167" fontId="13" fillId="31" borderId="41" xfId="1" applyNumberFormat="1" applyFont="1" applyFill="1" applyBorder="1" applyAlignment="1">
      <alignment horizontal="right"/>
    </xf>
    <xf numFmtId="0" fontId="13" fillId="31" borderId="42" xfId="0" applyFont="1" applyFill="1" applyBorder="1"/>
    <xf numFmtId="0" fontId="35" fillId="30" borderId="41" xfId="0" applyFont="1" applyFill="1" applyBorder="1" applyAlignment="1">
      <alignment vertical="center"/>
    </xf>
    <xf numFmtId="0" fontId="88" fillId="30" borderId="41" xfId="0" applyFont="1" applyFill="1" applyBorder="1" applyAlignment="1">
      <alignment horizontal="left" vertical="center"/>
    </xf>
    <xf numFmtId="0" fontId="88" fillId="30" borderId="41" xfId="0" applyFont="1" applyFill="1" applyBorder="1" applyAlignment="1">
      <alignment horizontal="right" vertical="center"/>
    </xf>
    <xf numFmtId="167" fontId="88" fillId="30" borderId="41" xfId="1" applyNumberFormat="1" applyFont="1" applyFill="1" applyBorder="1" applyAlignment="1">
      <alignment horizontal="right" vertical="center"/>
    </xf>
    <xf numFmtId="167" fontId="89" fillId="30" borderId="42" xfId="1" applyNumberFormat="1" applyFont="1" applyFill="1" applyBorder="1" applyAlignment="1">
      <alignment vertical="center"/>
    </xf>
    <xf numFmtId="0" fontId="89" fillId="30" borderId="42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right"/>
    </xf>
    <xf numFmtId="167" fontId="13" fillId="30" borderId="41" xfId="1" applyNumberFormat="1" applyFont="1" applyFill="1" applyBorder="1" applyAlignment="1">
      <alignment horizontal="right"/>
    </xf>
    <xf numFmtId="0" fontId="13" fillId="30" borderId="41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left" vertical="center"/>
    </xf>
    <xf numFmtId="0" fontId="13" fillId="30" borderId="41" xfId="0" applyFont="1" applyFill="1" applyBorder="1" applyAlignment="1">
      <alignment horizontal="right" vertical="center"/>
    </xf>
    <xf numFmtId="167" fontId="13" fillId="30" borderId="41" xfId="1" applyNumberFormat="1" applyFont="1" applyFill="1" applyBorder="1" applyAlignment="1">
      <alignment horizontal="right" vertical="center"/>
    </xf>
    <xf numFmtId="167" fontId="31" fillId="30" borderId="42" xfId="1" applyNumberFormat="1" applyFont="1" applyFill="1" applyBorder="1" applyAlignment="1">
      <alignment vertical="center"/>
    </xf>
    <xf numFmtId="0" fontId="31" fillId="30" borderId="41" xfId="0" applyFont="1" applyFill="1" applyBorder="1"/>
    <xf numFmtId="0" fontId="31" fillId="13" borderId="0" xfId="0" applyFont="1" applyFill="1"/>
    <xf numFmtId="0" fontId="13" fillId="30" borderId="40" xfId="0" applyFont="1" applyFill="1" applyBorder="1" applyAlignment="1">
      <alignment horizontal="left" vertical="center"/>
    </xf>
    <xf numFmtId="0" fontId="13" fillId="31" borderId="40" xfId="0" applyFont="1" applyFill="1" applyBorder="1" applyAlignment="1">
      <alignment horizontal="left"/>
    </xf>
    <xf numFmtId="0" fontId="13" fillId="30" borderId="40" xfId="0" applyFont="1" applyFill="1" applyBorder="1" applyAlignment="1">
      <alignment horizontal="left"/>
    </xf>
    <xf numFmtId="167" fontId="81" fillId="20" borderId="47" xfId="1" applyNumberFormat="1" applyFont="1" applyFill="1" applyBorder="1"/>
    <xf numFmtId="3" fontId="16" fillId="3" borderId="19" xfId="0" applyNumberFormat="1" applyFont="1" applyFill="1" applyBorder="1" applyAlignment="1">
      <alignment horizontal="center" wrapText="1"/>
    </xf>
    <xf numFmtId="0" fontId="40" fillId="7" borderId="0" xfId="0" applyFont="1" applyFill="1" applyAlignment="1">
      <alignment vertical="center"/>
    </xf>
    <xf numFmtId="0" fontId="84" fillId="7" borderId="0" xfId="0" applyFont="1" applyFill="1" applyAlignment="1">
      <alignment vertical="center"/>
    </xf>
    <xf numFmtId="0" fontId="11" fillId="7" borderId="21" xfId="0" applyFont="1" applyFill="1" applyBorder="1" applyAlignment="1">
      <alignment vertical="center"/>
    </xf>
    <xf numFmtId="0" fontId="77" fillId="7" borderId="21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/>
    </xf>
    <xf numFmtId="0" fontId="27" fillId="7" borderId="17" xfId="0" applyFont="1" applyFill="1" applyBorder="1" applyAlignment="1">
      <alignment horizontal="center"/>
    </xf>
    <xf numFmtId="0" fontId="20" fillId="7" borderId="2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/>
    </xf>
    <xf numFmtId="0" fontId="46" fillId="22" borderId="0" xfId="0" applyFont="1" applyFill="1"/>
    <xf numFmtId="0" fontId="83" fillId="22" borderId="0" xfId="0" applyFont="1" applyFill="1"/>
    <xf numFmtId="3" fontId="81" fillId="20" borderId="47" xfId="0" applyNumberFormat="1" applyFont="1" applyFill="1" applyBorder="1" applyAlignment="1">
      <alignment horizontal="center" wrapText="1"/>
    </xf>
    <xf numFmtId="3" fontId="20" fillId="20" borderId="27" xfId="0" applyNumberFormat="1" applyFont="1" applyFill="1" applyBorder="1" applyAlignment="1">
      <alignment horizontal="center" wrapText="1"/>
    </xf>
    <xf numFmtId="167" fontId="16" fillId="0" borderId="0" xfId="1" applyNumberFormat="1" applyFont="1"/>
    <xf numFmtId="167" fontId="72" fillId="0" borderId="0" xfId="1" applyNumberFormat="1" applyFont="1"/>
    <xf numFmtId="167" fontId="69" fillId="0" borderId="0" xfId="1" applyNumberFormat="1" applyFont="1"/>
    <xf numFmtId="3" fontId="80" fillId="12" borderId="20" xfId="0" applyNumberFormat="1" applyFont="1" applyFill="1" applyBorder="1" applyAlignment="1">
      <alignment horizontal="right" vertical="center" wrapText="1"/>
    </xf>
    <xf numFmtId="3" fontId="80" fillId="12" borderId="21" xfId="0" applyNumberFormat="1" applyFont="1" applyFill="1" applyBorder="1" applyAlignment="1">
      <alignment horizontal="right" vertical="center" wrapText="1"/>
    </xf>
    <xf numFmtId="0" fontId="46" fillId="23" borderId="26" xfId="0" applyFont="1" applyFill="1" applyBorder="1" applyAlignment="1">
      <alignment horizontal="center"/>
    </xf>
    <xf numFmtId="0" fontId="46" fillId="23" borderId="27" xfId="0" applyFont="1" applyFill="1" applyBorder="1" applyAlignment="1">
      <alignment horizontal="center"/>
    </xf>
    <xf numFmtId="167" fontId="86" fillId="16" borderId="19" xfId="1" applyNumberFormat="1" applyFont="1" applyFill="1" applyBorder="1"/>
    <xf numFmtId="167" fontId="86" fillId="17" borderId="19" xfId="1" applyNumberFormat="1" applyFont="1" applyFill="1" applyBorder="1"/>
    <xf numFmtId="167" fontId="17" fillId="16" borderId="0" xfId="1" applyNumberFormat="1" applyFont="1" applyFill="1" applyBorder="1" applyAlignment="1"/>
    <xf numFmtId="167" fontId="81" fillId="20" borderId="27" xfId="1" applyNumberFormat="1" applyFont="1" applyFill="1" applyBorder="1" applyAlignment="1"/>
    <xf numFmtId="167" fontId="17" fillId="17" borderId="0" xfId="1" applyNumberFormat="1" applyFont="1" applyFill="1" applyBorder="1" applyAlignment="1"/>
    <xf numFmtId="167" fontId="86" fillId="16" borderId="0" xfId="1" applyNumberFormat="1" applyFont="1" applyFill="1" applyBorder="1" applyAlignment="1"/>
    <xf numFmtId="167" fontId="16" fillId="0" borderId="0" xfId="1" applyNumberFormat="1" applyFont="1" applyAlignment="1"/>
    <xf numFmtId="0" fontId="0" fillId="0" borderId="0" xfId="0" applyAlignment="1"/>
    <xf numFmtId="167" fontId="67" fillId="20" borderId="27" xfId="1" applyNumberFormat="1" applyFont="1" applyFill="1" applyBorder="1" applyAlignment="1"/>
    <xf numFmtId="17" fontId="0" fillId="0" borderId="0" xfId="0" applyNumberFormat="1"/>
    <xf numFmtId="3" fontId="0" fillId="0" borderId="39" xfId="0" applyNumberFormat="1" applyBorder="1"/>
    <xf numFmtId="3" fontId="16" fillId="0" borderId="0" xfId="0" applyNumberFormat="1" applyFont="1"/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3" fontId="20" fillId="15" borderId="9" xfId="0" applyNumberFormat="1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3" fontId="86" fillId="3" borderId="18" xfId="0" applyNumberFormat="1" applyFont="1" applyFill="1" applyBorder="1" applyAlignment="1">
      <alignment horizontal="center" wrapText="1"/>
    </xf>
    <xf numFmtId="3" fontId="86" fillId="3" borderId="0" xfId="0" applyNumberFormat="1" applyFont="1" applyFill="1" applyAlignment="1">
      <alignment horizontal="center" wrapText="1"/>
    </xf>
    <xf numFmtId="168" fontId="86" fillId="7" borderId="50" xfId="0" applyNumberFormat="1" applyFont="1" applyFill="1" applyBorder="1"/>
    <xf numFmtId="14" fontId="105" fillId="3" borderId="18" xfId="0" applyNumberFormat="1" applyFont="1" applyFill="1" applyBorder="1" applyAlignment="1">
      <alignment horizontal="center"/>
    </xf>
    <xf numFmtId="14" fontId="105" fillId="3" borderId="19" xfId="0" applyNumberFormat="1" applyFont="1" applyFill="1" applyBorder="1" applyAlignment="1">
      <alignment horizontal="center"/>
    </xf>
    <xf numFmtId="14" fontId="13" fillId="30" borderId="41" xfId="0" applyNumberFormat="1" applyFont="1" applyFill="1" applyBorder="1" applyAlignment="1">
      <alignment horizontal="left" vertical="center"/>
    </xf>
    <xf numFmtId="169" fontId="34" fillId="7" borderId="0" xfId="1" quotePrefix="1" applyNumberFormat="1" applyFont="1" applyFill="1" applyBorder="1" applyAlignment="1">
      <alignment horizontal="center"/>
    </xf>
    <xf numFmtId="168" fontId="34" fillId="7" borderId="50" xfId="0" applyNumberFormat="1" applyFont="1" applyFill="1" applyBorder="1"/>
    <xf numFmtId="0" fontId="107" fillId="23" borderId="27" xfId="0" applyFont="1" applyFill="1" applyBorder="1" applyAlignment="1">
      <alignment horizontal="center"/>
    </xf>
    <xf numFmtId="14" fontId="90" fillId="3" borderId="18" xfId="0" applyNumberFormat="1" applyFont="1" applyFill="1" applyBorder="1" applyAlignment="1">
      <alignment horizontal="center"/>
    </xf>
    <xf numFmtId="14" fontId="90" fillId="3" borderId="19" xfId="0" applyNumberFormat="1" applyFont="1" applyFill="1" applyBorder="1" applyAlignment="1">
      <alignment horizontal="center"/>
    </xf>
    <xf numFmtId="3" fontId="17" fillId="16" borderId="1" xfId="0" applyNumberFormat="1" applyFont="1" applyFill="1" applyBorder="1" applyAlignment="1">
      <alignment horizontal="center" wrapText="1"/>
    </xf>
    <xf numFmtId="3" fontId="106" fillId="25" borderId="0" xfId="0" applyNumberFormat="1" applyFont="1" applyFill="1" applyAlignment="1">
      <alignment horizontal="center" wrapText="1"/>
    </xf>
    <xf numFmtId="168" fontId="75" fillId="25" borderId="50" xfId="0" applyNumberFormat="1" applyFont="1" applyFill="1" applyBorder="1"/>
    <xf numFmtId="0" fontId="75" fillId="25" borderId="0" xfId="1" applyNumberFormat="1" applyFont="1" applyFill="1" applyAlignment="1">
      <alignment horizontal="center"/>
    </xf>
    <xf numFmtId="1" fontId="13" fillId="9" borderId="40" xfId="0" quotePrefix="1" applyNumberFormat="1" applyFont="1" applyFill="1" applyBorder="1" applyAlignment="1">
      <alignment horizontal="left"/>
    </xf>
    <xf numFmtId="0" fontId="9" fillId="0" borderId="0" xfId="0" applyFont="1" applyAlignment="1">
      <alignment horizontal="center"/>
    </xf>
    <xf numFmtId="0" fontId="108" fillId="0" borderId="0" xfId="0" applyFont="1" applyAlignment="1">
      <alignment horizontal="right"/>
    </xf>
    <xf numFmtId="0" fontId="108" fillId="0" borderId="0" xfId="0" applyFont="1"/>
    <xf numFmtId="0" fontId="109" fillId="0" borderId="0" xfId="0" applyFont="1"/>
    <xf numFmtId="0" fontId="110" fillId="0" borderId="0" xfId="0" applyFont="1" applyAlignment="1">
      <alignment horizontal="center"/>
    </xf>
    <xf numFmtId="165" fontId="108" fillId="0" borderId="52" xfId="1" applyFont="1" applyFill="1" applyBorder="1" applyAlignment="1">
      <alignment horizontal="center" wrapText="1"/>
    </xf>
    <xf numFmtId="43" fontId="108" fillId="0" borderId="0" xfId="0" applyNumberFormat="1" applyFont="1"/>
    <xf numFmtId="165" fontId="108" fillId="0" borderId="0" xfId="1" applyFont="1" applyFill="1" applyBorder="1" applyAlignment="1">
      <alignment horizontal="center" vertical="center"/>
    </xf>
    <xf numFmtId="0" fontId="112" fillId="0" borderId="0" xfId="0" applyFont="1"/>
    <xf numFmtId="43" fontId="113" fillId="0" borderId="0" xfId="0" applyNumberFormat="1" applyFont="1"/>
    <xf numFmtId="0" fontId="114" fillId="0" borderId="0" xfId="0" applyFont="1"/>
    <xf numFmtId="0" fontId="115" fillId="0" borderId="0" xfId="0" applyFont="1"/>
    <xf numFmtId="167" fontId="112" fillId="0" borderId="0" xfId="0" applyNumberFormat="1" applyFont="1"/>
    <xf numFmtId="4" fontId="45" fillId="0" borderId="0" xfId="0" applyNumberFormat="1" applyFont="1"/>
    <xf numFmtId="167" fontId="0" fillId="0" borderId="0" xfId="1" applyNumberFormat="1" applyFont="1" applyAlignment="1">
      <alignment horizontal="center"/>
    </xf>
    <xf numFmtId="3" fontId="75" fillId="24" borderId="18" xfId="0" applyNumberFormat="1" applyFont="1" applyFill="1" applyBorder="1" applyAlignment="1">
      <alignment horizontal="center" wrapText="1"/>
    </xf>
    <xf numFmtId="3" fontId="75" fillId="24" borderId="0" xfId="0" applyNumberFormat="1" applyFont="1" applyFill="1" applyAlignment="1">
      <alignment horizontal="center" wrapText="1"/>
    </xf>
    <xf numFmtId="0" fontId="75" fillId="24" borderId="19" xfId="0" applyFont="1" applyFill="1" applyBorder="1" applyAlignment="1">
      <alignment horizontal="center"/>
    </xf>
    <xf numFmtId="167" fontId="75" fillId="24" borderId="18" xfId="1" applyNumberFormat="1" applyFont="1" applyFill="1" applyBorder="1"/>
    <xf numFmtId="167" fontId="75" fillId="24" borderId="0" xfId="1" applyNumberFormat="1" applyFont="1" applyFill="1" applyBorder="1"/>
    <xf numFmtId="167" fontId="75" fillId="24" borderId="19" xfId="1" applyNumberFormat="1" applyFont="1" applyFill="1" applyBorder="1"/>
    <xf numFmtId="170" fontId="75" fillId="24" borderId="0" xfId="0" quotePrefix="1" applyNumberFormat="1" applyFont="1" applyFill="1" applyAlignment="1">
      <alignment horizontal="center"/>
    </xf>
    <xf numFmtId="168" fontId="75" fillId="24" borderId="50" xfId="0" applyNumberFormat="1" applyFont="1" applyFill="1" applyBorder="1"/>
    <xf numFmtId="43" fontId="9" fillId="0" borderId="0" xfId="0" applyNumberFormat="1" applyFont="1"/>
    <xf numFmtId="43" fontId="14" fillId="0" borderId="0" xfId="0" applyNumberFormat="1" applyFont="1"/>
    <xf numFmtId="43" fontId="0" fillId="0" borderId="0" xfId="0" applyNumberFormat="1"/>
    <xf numFmtId="165" fontId="45" fillId="0" borderId="0" xfId="1" applyFont="1" applyAlignment="1">
      <alignment vertical="center"/>
    </xf>
    <xf numFmtId="0" fontId="117" fillId="0" borderId="0" xfId="0" applyFont="1"/>
    <xf numFmtId="0" fontId="118" fillId="0" borderId="0" xfId="0" applyFont="1"/>
    <xf numFmtId="0" fontId="121" fillId="0" borderId="0" xfId="0" applyFont="1" applyAlignment="1">
      <alignment wrapText="1"/>
    </xf>
    <xf numFmtId="0" fontId="122" fillId="0" borderId="1" xfId="0" applyFont="1" applyBorder="1" applyAlignment="1">
      <alignment vertical="center" wrapText="1"/>
    </xf>
    <xf numFmtId="0" fontId="122" fillId="0" borderId="5" xfId="0" applyFont="1" applyBorder="1" applyAlignment="1">
      <alignment vertical="center" wrapText="1"/>
    </xf>
    <xf numFmtId="0" fontId="7" fillId="8" borderId="1" xfId="0" applyFont="1" applyFill="1" applyBorder="1" applyAlignment="1">
      <alignment wrapText="1"/>
    </xf>
    <xf numFmtId="3" fontId="7" fillId="8" borderId="55" xfId="0" applyNumberFormat="1" applyFont="1" applyFill="1" applyBorder="1" applyAlignment="1">
      <alignment horizontal="center" vertical="center" wrapText="1"/>
    </xf>
    <xf numFmtId="0" fontId="7" fillId="36" borderId="9" xfId="0" applyFont="1" applyFill="1" applyBorder="1" applyAlignment="1">
      <alignment wrapText="1"/>
    </xf>
    <xf numFmtId="0" fontId="7" fillId="36" borderId="55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wrapText="1"/>
    </xf>
    <xf numFmtId="0" fontId="10" fillId="37" borderId="9" xfId="0" applyFont="1" applyFill="1" applyBorder="1" applyAlignment="1">
      <alignment wrapText="1"/>
    </xf>
    <xf numFmtId="3" fontId="10" fillId="37" borderId="55" xfId="0" applyNumberFormat="1" applyFont="1" applyFill="1" applyBorder="1" applyAlignment="1">
      <alignment horizontal="center" vertical="center" wrapText="1"/>
    </xf>
    <xf numFmtId="0" fontId="122" fillId="36" borderId="9" xfId="0" applyFont="1" applyFill="1" applyBorder="1" applyAlignment="1">
      <alignment wrapText="1"/>
    </xf>
    <xf numFmtId="0" fontId="121" fillId="0" borderId="0" xfId="0" applyFont="1" applyAlignment="1">
      <alignment vertical="center" wrapText="1"/>
    </xf>
    <xf numFmtId="172" fontId="94" fillId="0" borderId="0" xfId="1" applyNumberFormat="1" applyFont="1"/>
    <xf numFmtId="3" fontId="27" fillId="20" borderId="64" xfId="0" applyNumberFormat="1" applyFont="1" applyFill="1" applyBorder="1" applyAlignment="1">
      <alignment horizontal="left"/>
    </xf>
    <xf numFmtId="172" fontId="14" fillId="0" borderId="0" xfId="1" applyNumberFormat="1" applyFont="1" applyAlignment="1">
      <alignment vertical="center"/>
    </xf>
    <xf numFmtId="172" fontId="95" fillId="6" borderId="1" xfId="1" applyNumberFormat="1" applyFont="1" applyFill="1" applyBorder="1" applyAlignment="1">
      <alignment vertical="center" wrapText="1"/>
    </xf>
    <xf numFmtId="172" fontId="93" fillId="6" borderId="1" xfId="1" applyNumberFormat="1" applyFont="1" applyFill="1" applyBorder="1" applyAlignment="1">
      <alignment vertical="center"/>
    </xf>
    <xf numFmtId="172" fontId="96" fillId="0" borderId="0" xfId="1" applyNumberFormat="1" applyFont="1"/>
    <xf numFmtId="172" fontId="0" fillId="0" borderId="0" xfId="1" applyNumberFormat="1" applyFont="1"/>
    <xf numFmtId="172" fontId="93" fillId="13" borderId="1" xfId="0" applyNumberFormat="1" applyFont="1" applyFill="1" applyBorder="1" applyAlignment="1">
      <alignment vertical="center"/>
    </xf>
    <xf numFmtId="172" fontId="93" fillId="6" borderId="1" xfId="0" applyNumberFormat="1" applyFont="1" applyFill="1" applyBorder="1" applyAlignment="1">
      <alignment vertical="center"/>
    </xf>
    <xf numFmtId="172" fontId="94" fillId="0" borderId="0" xfId="0" applyNumberFormat="1" applyFont="1"/>
    <xf numFmtId="167" fontId="80" fillId="12" borderId="19" xfId="0" applyNumberFormat="1" applyFont="1" applyFill="1" applyBorder="1" applyAlignment="1">
      <alignment vertical="center"/>
    </xf>
    <xf numFmtId="167" fontId="34" fillId="0" borderId="19" xfId="1" applyNumberFormat="1" applyFont="1" applyBorder="1"/>
    <xf numFmtId="167" fontId="81" fillId="20" borderId="47" xfId="1" applyNumberFormat="1" applyFont="1" applyFill="1" applyBorder="1" applyAlignment="1"/>
    <xf numFmtId="167" fontId="17" fillId="16" borderId="19" xfId="1" applyNumberFormat="1" applyFont="1" applyFill="1" applyBorder="1"/>
    <xf numFmtId="166" fontId="7" fillId="36" borderId="55" xfId="0" applyNumberFormat="1" applyFont="1" applyFill="1" applyBorder="1" applyAlignment="1">
      <alignment horizontal="center" vertical="center" wrapText="1"/>
    </xf>
    <xf numFmtId="166" fontId="10" fillId="36" borderId="55" xfId="0" applyNumberFormat="1" applyFont="1" applyFill="1" applyBorder="1" applyAlignment="1">
      <alignment horizontal="center" vertical="center" wrapText="1"/>
    </xf>
    <xf numFmtId="173" fontId="7" fillId="36" borderId="55" xfId="0" applyNumberFormat="1" applyFont="1" applyFill="1" applyBorder="1" applyAlignment="1">
      <alignment horizontal="center" vertical="center" wrapText="1"/>
    </xf>
    <xf numFmtId="173" fontId="10" fillId="36" borderId="55" xfId="0" applyNumberFormat="1" applyFont="1" applyFill="1" applyBorder="1" applyAlignment="1">
      <alignment horizontal="center" vertical="center" wrapText="1"/>
    </xf>
    <xf numFmtId="0" fontId="13" fillId="33" borderId="40" xfId="0" applyFont="1" applyFill="1" applyBorder="1" applyAlignment="1">
      <alignment horizontal="left"/>
    </xf>
    <xf numFmtId="0" fontId="13" fillId="32" borderId="40" xfId="0" applyFont="1" applyFill="1" applyBorder="1" applyAlignment="1">
      <alignment horizontal="left"/>
    </xf>
    <xf numFmtId="0" fontId="31" fillId="32" borderId="40" xfId="0" applyFont="1" applyFill="1" applyBorder="1" applyAlignment="1">
      <alignment horizontal="left"/>
    </xf>
    <xf numFmtId="0" fontId="35" fillId="30" borderId="40" xfId="0" applyFont="1" applyFill="1" applyBorder="1" applyAlignment="1">
      <alignment horizontal="left" vertical="center"/>
    </xf>
    <xf numFmtId="0" fontId="13" fillId="34" borderId="40" xfId="0" applyFont="1" applyFill="1" applyBorder="1" applyAlignment="1">
      <alignment horizontal="left"/>
    </xf>
    <xf numFmtId="0" fontId="13" fillId="34" borderId="41" xfId="0" applyFont="1" applyFill="1" applyBorder="1"/>
    <xf numFmtId="0" fontId="13" fillId="34" borderId="41" xfId="0" applyFont="1" applyFill="1" applyBorder="1" applyAlignment="1">
      <alignment horizontal="left"/>
    </xf>
    <xf numFmtId="14" fontId="13" fillId="34" borderId="41" xfId="0" applyNumberFormat="1" applyFont="1" applyFill="1" applyBorder="1" applyAlignment="1">
      <alignment horizontal="left"/>
    </xf>
    <xf numFmtId="0" fontId="13" fillId="34" borderId="41" xfId="0" applyFont="1" applyFill="1" applyBorder="1" applyAlignment="1">
      <alignment horizontal="right"/>
    </xf>
    <xf numFmtId="167" fontId="13" fillId="34" borderId="41" xfId="1" applyNumberFormat="1" applyFont="1" applyFill="1" applyBorder="1" applyAlignment="1">
      <alignment horizontal="right"/>
    </xf>
    <xf numFmtId="167" fontId="13" fillId="34" borderId="42" xfId="1" applyNumberFormat="1" applyFont="1" applyFill="1" applyBorder="1"/>
    <xf numFmtId="0" fontId="13" fillId="34" borderId="42" xfId="0" applyFont="1" applyFill="1" applyBorder="1"/>
    <xf numFmtId="0" fontId="0" fillId="3" borderId="0" xfId="0" applyFill="1" applyAlignment="1">
      <alignment wrapText="1"/>
    </xf>
    <xf numFmtId="0" fontId="0" fillId="3" borderId="0" xfId="0" applyFill="1"/>
    <xf numFmtId="1" fontId="13" fillId="28" borderId="40" xfId="0" quotePrefix="1" applyNumberFormat="1" applyFont="1" applyFill="1" applyBorder="1" applyAlignment="1">
      <alignment horizontal="left"/>
    </xf>
    <xf numFmtId="0" fontId="31" fillId="34" borderId="40" xfId="0" applyFont="1" applyFill="1" applyBorder="1" applyAlignment="1">
      <alignment horizontal="left"/>
    </xf>
    <xf numFmtId="0" fontId="31" fillId="34" borderId="41" xfId="0" applyFont="1" applyFill="1" applyBorder="1"/>
    <xf numFmtId="14" fontId="31" fillId="34" borderId="41" xfId="0" applyNumberFormat="1" applyFont="1" applyFill="1" applyBorder="1" applyAlignment="1">
      <alignment horizontal="left"/>
    </xf>
    <xf numFmtId="167" fontId="31" fillId="34" borderId="41" xfId="1" applyNumberFormat="1" applyFont="1" applyFill="1" applyBorder="1"/>
    <xf numFmtId="0" fontId="31" fillId="34" borderId="42" xfId="0" applyFont="1" applyFill="1" applyBorder="1"/>
    <xf numFmtId="0" fontId="31" fillId="6" borderId="0" xfId="0" applyFont="1" applyFill="1"/>
    <xf numFmtId="167" fontId="31" fillId="34" borderId="42" xfId="1" applyNumberFormat="1" applyFont="1" applyFill="1" applyBorder="1"/>
    <xf numFmtId="0" fontId="42" fillId="3" borderId="0" xfId="0" applyFont="1" applyFill="1"/>
    <xf numFmtId="0" fontId="13" fillId="32" borderId="40" xfId="0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vertical="center"/>
    </xf>
    <xf numFmtId="0" fontId="13" fillId="32" borderId="41" xfId="0" applyFont="1" applyFill="1" applyBorder="1" applyAlignment="1">
      <alignment horizontal="left" vertical="center"/>
    </xf>
    <xf numFmtId="14" fontId="13" fillId="32" borderId="41" xfId="0" applyNumberFormat="1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horizontal="right" vertical="center"/>
    </xf>
    <xf numFmtId="167" fontId="13" fillId="32" borderId="41" xfId="1" applyNumberFormat="1" applyFont="1" applyFill="1" applyBorder="1" applyAlignment="1">
      <alignment horizontal="right" vertical="center"/>
    </xf>
    <xf numFmtId="167" fontId="31" fillId="32" borderId="42" xfId="1" applyNumberFormat="1" applyFont="1" applyFill="1" applyBorder="1" applyAlignment="1">
      <alignment vertical="center"/>
    </xf>
    <xf numFmtId="14" fontId="116" fillId="3" borderId="18" xfId="0" applyNumberFormat="1" applyFont="1" applyFill="1" applyBorder="1" applyAlignment="1">
      <alignment horizontal="center"/>
    </xf>
    <xf numFmtId="14" fontId="116" fillId="3" borderId="19" xfId="0" applyNumberFormat="1" applyFont="1" applyFill="1" applyBorder="1" applyAlignment="1">
      <alignment horizontal="center"/>
    </xf>
    <xf numFmtId="167" fontId="86" fillId="17" borderId="0" xfId="1" applyNumberFormat="1" applyFont="1" applyFill="1" applyBorder="1"/>
    <xf numFmtId="167" fontId="86" fillId="17" borderId="0" xfId="1" applyNumberFormat="1" applyFont="1" applyFill="1" applyBorder="1" applyAlignment="1"/>
    <xf numFmtId="167" fontId="92" fillId="17" borderId="0" xfId="1" applyNumberFormat="1" applyFont="1" applyFill="1" applyBorder="1"/>
    <xf numFmtId="3" fontId="86" fillId="7" borderId="0" xfId="0" applyNumberFormat="1" applyFont="1" applyFill="1" applyAlignment="1">
      <alignment horizontal="left"/>
    </xf>
    <xf numFmtId="3" fontId="81" fillId="20" borderId="27" xfId="1" applyNumberFormat="1" applyFont="1" applyFill="1" applyBorder="1"/>
    <xf numFmtId="0" fontId="119" fillId="0" borderId="0" xfId="0" applyFont="1" applyAlignment="1">
      <alignment vertical="center" wrapText="1"/>
    </xf>
    <xf numFmtId="0" fontId="119" fillId="0" borderId="0" xfId="0" applyFont="1" applyAlignment="1">
      <alignment vertical="center"/>
    </xf>
    <xf numFmtId="0" fontId="123" fillId="0" borderId="0" xfId="0" applyFont="1" applyAlignment="1">
      <alignment vertical="center"/>
    </xf>
    <xf numFmtId="0" fontId="89" fillId="0" borderId="0" xfId="0" applyFont="1" applyAlignment="1">
      <alignment vertical="center"/>
    </xf>
    <xf numFmtId="0" fontId="0" fillId="6" borderId="1" xfId="0" applyFill="1" applyBorder="1" applyAlignment="1">
      <alignment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167" fontId="0" fillId="0" borderId="0" xfId="0" applyNumberFormat="1" applyAlignment="1">
      <alignment horizontal="center"/>
    </xf>
    <xf numFmtId="167" fontId="0" fillId="0" borderId="0" xfId="1" applyNumberFormat="1" applyFont="1" applyFill="1" applyAlignment="1">
      <alignment horizontal="center"/>
    </xf>
    <xf numFmtId="167" fontId="9" fillId="0" borderId="0" xfId="0" applyNumberFormat="1" applyFont="1" applyAlignment="1">
      <alignment horizontal="center"/>
    </xf>
    <xf numFmtId="3" fontId="10" fillId="0" borderId="0" xfId="0" applyNumberFormat="1" applyFont="1" applyBorder="1"/>
    <xf numFmtId="0" fontId="10" fillId="0" borderId="0" xfId="0" applyFont="1" applyBorder="1"/>
    <xf numFmtId="3" fontId="60" fillId="0" borderId="0" xfId="0" applyNumberFormat="1" applyFont="1" applyBorder="1"/>
    <xf numFmtId="0" fontId="127" fillId="0" borderId="0" xfId="0" applyFont="1" applyAlignment="1">
      <alignment vertical="center"/>
    </xf>
    <xf numFmtId="0" fontId="0" fillId="3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0" fontId="3" fillId="40" borderId="1" xfId="0" applyFont="1" applyFill="1" applyBorder="1" applyAlignment="1">
      <alignment wrapText="1"/>
    </xf>
    <xf numFmtId="0" fontId="3" fillId="40" borderId="1" xfId="0" applyFont="1" applyFill="1" applyBorder="1"/>
    <xf numFmtId="0" fontId="0" fillId="40" borderId="1" xfId="0" applyFill="1" applyBorder="1" applyAlignment="1">
      <alignment wrapText="1"/>
    </xf>
    <xf numFmtId="0" fontId="0" fillId="40" borderId="1" xfId="0" applyFill="1" applyBorder="1"/>
    <xf numFmtId="0" fontId="0" fillId="16" borderId="1" xfId="0" applyFill="1" applyBorder="1" applyAlignment="1">
      <alignment horizontal="center"/>
    </xf>
    <xf numFmtId="3" fontId="0" fillId="16" borderId="1" xfId="0" applyNumberForma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 vertical="center" wrapText="1"/>
    </xf>
    <xf numFmtId="0" fontId="78" fillId="41" borderId="1" xfId="0" applyFont="1" applyFill="1" applyBorder="1" applyAlignment="1">
      <alignment horizontal="center"/>
    </xf>
    <xf numFmtId="0" fontId="0" fillId="41" borderId="1" xfId="0" applyFill="1" applyBorder="1" applyAlignment="1">
      <alignment horizontal="center"/>
    </xf>
    <xf numFmtId="3" fontId="0" fillId="41" borderId="1" xfId="0" applyNumberFormat="1" applyFill="1" applyBorder="1" applyAlignment="1">
      <alignment horizontal="center"/>
    </xf>
    <xf numFmtId="0" fontId="0" fillId="41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126" fillId="39" borderId="65" xfId="4"/>
    <xf numFmtId="0" fontId="126" fillId="39" borderId="65" xfId="4" applyAlignment="1">
      <alignment horizontal="center"/>
    </xf>
    <xf numFmtId="0" fontId="0" fillId="42" borderId="1" xfId="0" applyFill="1" applyBorder="1"/>
    <xf numFmtId="0" fontId="0" fillId="42" borderId="1" xfId="0" applyFill="1" applyBorder="1" applyAlignment="1">
      <alignment horizontal="center"/>
    </xf>
    <xf numFmtId="0" fontId="128" fillId="40" borderId="1" xfId="0" applyFont="1" applyFill="1" applyBorder="1" applyAlignment="1">
      <alignment horizontal="left"/>
    </xf>
    <xf numFmtId="0" fontId="4" fillId="40" borderId="1" xfId="0" applyFont="1" applyFill="1" applyBorder="1" applyAlignment="1">
      <alignment horizontal="center"/>
    </xf>
    <xf numFmtId="3" fontId="4" fillId="40" borderId="1" xfId="0" applyNumberFormat="1" applyFont="1" applyFill="1" applyBorder="1" applyAlignment="1">
      <alignment horizontal="center"/>
    </xf>
    <xf numFmtId="0" fontId="4" fillId="40" borderId="1" xfId="0" applyFont="1" applyFill="1" applyBorder="1"/>
    <xf numFmtId="3" fontId="0" fillId="2" borderId="1" xfId="0" applyNumberFormat="1" applyFill="1" applyBorder="1"/>
    <xf numFmtId="0" fontId="75" fillId="27" borderId="1" xfId="0" applyFont="1" applyFill="1" applyBorder="1"/>
    <xf numFmtId="3" fontId="75" fillId="27" borderId="1" xfId="0" applyNumberFormat="1" applyFont="1" applyFill="1" applyBorder="1" applyAlignment="1">
      <alignment wrapText="1"/>
    </xf>
    <xf numFmtId="0" fontId="75" fillId="27" borderId="1" xfId="0" applyFont="1" applyFill="1" applyBorder="1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center"/>
    </xf>
    <xf numFmtId="0" fontId="75" fillId="42" borderId="1" xfId="0" applyFont="1" applyFill="1" applyBorder="1"/>
    <xf numFmtId="3" fontId="75" fillId="42" borderId="1" xfId="0" applyNumberFormat="1" applyFont="1" applyFill="1" applyBorder="1" applyAlignment="1">
      <alignment horizontal="center"/>
    </xf>
    <xf numFmtId="3" fontId="75" fillId="42" borderId="1" xfId="0" applyNumberFormat="1" applyFont="1" applyFill="1" applyBorder="1"/>
    <xf numFmtId="0" fontId="16" fillId="0" borderId="0" xfId="0" applyFont="1" applyFill="1"/>
    <xf numFmtId="14" fontId="90" fillId="3" borderId="0" xfId="0" applyNumberFormat="1" applyFont="1" applyFill="1" applyBorder="1" applyAlignment="1">
      <alignment horizontal="center"/>
    </xf>
    <xf numFmtId="167" fontId="17" fillId="7" borderId="18" xfId="1" applyNumberFormat="1" applyFont="1" applyFill="1" applyBorder="1"/>
    <xf numFmtId="169" fontId="17" fillId="7" borderId="19" xfId="1" quotePrefix="1" applyNumberFormat="1" applyFont="1" applyFill="1" applyBorder="1" applyAlignment="1">
      <alignment horizontal="center"/>
    </xf>
    <xf numFmtId="3" fontId="17" fillId="3" borderId="0" xfId="0" applyNumberFormat="1" applyFont="1" applyFill="1" applyBorder="1" applyAlignment="1">
      <alignment horizontal="center" wrapText="1"/>
    </xf>
    <xf numFmtId="168" fontId="17" fillId="7" borderId="18" xfId="0" applyNumberFormat="1" applyFont="1" applyFill="1" applyBorder="1"/>
    <xf numFmtId="167" fontId="92" fillId="7" borderId="19" xfId="1" applyNumberFormat="1" applyFont="1" applyFill="1" applyBorder="1"/>
    <xf numFmtId="3" fontId="17" fillId="3" borderId="19" xfId="0" applyNumberFormat="1" applyFont="1" applyFill="1" applyBorder="1" applyAlignment="1">
      <alignment horizontal="center" wrapText="1"/>
    </xf>
    <xf numFmtId="168" fontId="17" fillId="7" borderId="0" xfId="0" applyNumberFormat="1" applyFont="1" applyFill="1" applyBorder="1"/>
    <xf numFmtId="167" fontId="70" fillId="7" borderId="18" xfId="1" applyNumberFormat="1" applyFont="1" applyFill="1" applyBorder="1"/>
    <xf numFmtId="167" fontId="17" fillId="16" borderId="18" xfId="1" applyNumberFormat="1" applyFont="1" applyFill="1" applyBorder="1"/>
    <xf numFmtId="3" fontId="20" fillId="20" borderId="31" xfId="0" applyNumberFormat="1" applyFont="1" applyFill="1" applyBorder="1" applyAlignment="1">
      <alignment horizontal="center" wrapText="1"/>
    </xf>
    <xf numFmtId="169" fontId="20" fillId="20" borderId="21" xfId="1" quotePrefix="1" applyNumberFormat="1" applyFont="1" applyFill="1" applyBorder="1" applyAlignment="1">
      <alignment horizontal="center"/>
    </xf>
    <xf numFmtId="167" fontId="36" fillId="7" borderId="18" xfId="1" applyNumberFormat="1" applyFont="1" applyFill="1" applyBorder="1"/>
    <xf numFmtId="165" fontId="0" fillId="0" borderId="0" xfId="0" applyNumberFormat="1"/>
    <xf numFmtId="3" fontId="94" fillId="0" borderId="0" xfId="1" applyNumberFormat="1" applyFont="1"/>
    <xf numFmtId="174" fontId="103" fillId="8" borderId="1" xfId="1" applyNumberFormat="1" applyFont="1" applyFill="1" applyBorder="1" applyAlignment="1">
      <alignment vertical="center"/>
    </xf>
    <xf numFmtId="174" fontId="103" fillId="8" borderId="9" xfId="1" applyNumberFormat="1" applyFont="1" applyFill="1" applyBorder="1" applyAlignment="1">
      <alignment vertical="center"/>
    </xf>
    <xf numFmtId="167" fontId="129" fillId="20" borderId="27" xfId="1" applyNumberFormat="1" applyFont="1" applyFill="1" applyBorder="1"/>
    <xf numFmtId="3" fontId="16" fillId="3" borderId="0" xfId="0" applyNumberFormat="1" applyFont="1" applyFill="1" applyBorder="1" applyAlignment="1">
      <alignment horizontal="center" wrapText="1"/>
    </xf>
    <xf numFmtId="3" fontId="81" fillId="20" borderId="66" xfId="0" applyNumberFormat="1" applyFont="1" applyFill="1" applyBorder="1" applyAlignment="1">
      <alignment horizontal="center" wrapText="1"/>
    </xf>
    <xf numFmtId="169" fontId="17" fillId="7" borderId="18" xfId="1" quotePrefix="1" applyNumberFormat="1" applyFont="1" applyFill="1" applyBorder="1" applyAlignment="1">
      <alignment horizontal="center"/>
    </xf>
    <xf numFmtId="3" fontId="46" fillId="12" borderId="27" xfId="0" applyNumberFormat="1" applyFont="1" applyFill="1" applyBorder="1" applyAlignment="1">
      <alignment horizontal="center"/>
    </xf>
    <xf numFmtId="167" fontId="14" fillId="0" borderId="0" xfId="1" applyNumberFormat="1" applyFont="1"/>
    <xf numFmtId="167" fontId="36" fillId="7" borderId="52" xfId="1" applyNumberFormat="1" applyFont="1" applyFill="1" applyBorder="1"/>
    <xf numFmtId="3" fontId="17" fillId="21" borderId="18" xfId="0" applyNumberFormat="1" applyFont="1" applyFill="1" applyBorder="1" applyAlignment="1">
      <alignment horizontal="center" wrapText="1"/>
    </xf>
    <xf numFmtId="3" fontId="17" fillId="21" borderId="0" xfId="0" applyNumberFormat="1" applyFont="1" applyFill="1" applyAlignment="1">
      <alignment horizontal="center" wrapText="1"/>
    </xf>
    <xf numFmtId="14" fontId="90" fillId="21" borderId="18" xfId="0" applyNumberFormat="1" applyFont="1" applyFill="1" applyBorder="1" applyAlignment="1">
      <alignment horizontal="center"/>
    </xf>
    <xf numFmtId="14" fontId="90" fillId="21" borderId="19" xfId="0" applyNumberFormat="1" applyFont="1" applyFill="1" applyBorder="1" applyAlignment="1">
      <alignment horizontal="center"/>
    </xf>
    <xf numFmtId="167" fontId="17" fillId="21" borderId="0" xfId="1" applyNumberFormat="1" applyFont="1" applyFill="1" applyBorder="1"/>
    <xf numFmtId="167" fontId="17" fillId="21" borderId="0" xfId="1" applyNumberFormat="1" applyFont="1" applyFill="1" applyBorder="1" applyAlignment="1"/>
    <xf numFmtId="167" fontId="69" fillId="21" borderId="0" xfId="1" applyNumberFormat="1" applyFont="1" applyFill="1" applyBorder="1"/>
    <xf numFmtId="167" fontId="17" fillId="21" borderId="19" xfId="1" applyNumberFormat="1" applyFont="1" applyFill="1" applyBorder="1"/>
    <xf numFmtId="167" fontId="36" fillId="21" borderId="0" xfId="1" applyNumberFormat="1" applyFont="1" applyFill="1" applyBorder="1"/>
    <xf numFmtId="167" fontId="92" fillId="21" borderId="0" xfId="1" applyNumberFormat="1" applyFont="1" applyFill="1" applyBorder="1"/>
    <xf numFmtId="0" fontId="46" fillId="21" borderId="27" xfId="0" applyFont="1" applyFill="1" applyBorder="1" applyAlignment="1">
      <alignment horizontal="center"/>
    </xf>
    <xf numFmtId="3" fontId="17" fillId="21" borderId="0" xfId="1" applyNumberFormat="1" applyFont="1" applyFill="1" applyBorder="1"/>
    <xf numFmtId="167" fontId="36" fillId="21" borderId="19" xfId="1" applyNumberFormat="1" applyFont="1" applyFill="1" applyBorder="1"/>
    <xf numFmtId="169" fontId="17" fillId="21" borderId="0" xfId="1" quotePrefix="1" applyNumberFormat="1" applyFont="1" applyFill="1" applyBorder="1" applyAlignment="1">
      <alignment horizontal="center"/>
    </xf>
    <xf numFmtId="169" fontId="34" fillId="21" borderId="0" xfId="1" quotePrefix="1" applyNumberFormat="1" applyFont="1" applyFill="1" applyBorder="1" applyAlignment="1">
      <alignment horizontal="center"/>
    </xf>
    <xf numFmtId="168" fontId="17" fillId="21" borderId="50" xfId="0" applyNumberFormat="1" applyFont="1" applyFill="1" applyBorder="1"/>
    <xf numFmtId="167" fontId="36" fillId="21" borderId="52" xfId="1" applyNumberFormat="1" applyFont="1" applyFill="1" applyBorder="1"/>
    <xf numFmtId="3" fontId="17" fillId="3" borderId="22" xfId="0" applyNumberFormat="1" applyFont="1" applyFill="1" applyBorder="1" applyAlignment="1">
      <alignment horizontal="center" wrapText="1"/>
    </xf>
    <xf numFmtId="169" fontId="34" fillId="21" borderId="19" xfId="1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4" fontId="90" fillId="24" borderId="18" xfId="0" applyNumberFormat="1" applyFont="1" applyFill="1" applyBorder="1" applyAlignment="1">
      <alignment horizontal="center"/>
    </xf>
    <xf numFmtId="14" fontId="90" fillId="24" borderId="19" xfId="0" applyNumberFormat="1" applyFont="1" applyFill="1" applyBorder="1" applyAlignment="1">
      <alignment horizontal="center"/>
    </xf>
    <xf numFmtId="167" fontId="17" fillId="24" borderId="0" xfId="1" applyNumberFormat="1" applyFont="1" applyFill="1" applyBorder="1"/>
    <xf numFmtId="167" fontId="17" fillId="24" borderId="0" xfId="1" applyNumberFormat="1" applyFont="1" applyFill="1" applyBorder="1" applyAlignment="1"/>
    <xf numFmtId="167" fontId="69" fillId="24" borderId="0" xfId="1" applyNumberFormat="1" applyFont="1" applyFill="1" applyBorder="1"/>
    <xf numFmtId="167" fontId="17" fillId="24" borderId="19" xfId="1" applyNumberFormat="1" applyFont="1" applyFill="1" applyBorder="1"/>
    <xf numFmtId="167" fontId="36" fillId="24" borderId="0" xfId="1" applyNumberFormat="1" applyFont="1" applyFill="1" applyBorder="1"/>
    <xf numFmtId="167" fontId="92" fillId="24" borderId="0" xfId="1" applyNumberFormat="1" applyFont="1" applyFill="1" applyBorder="1"/>
    <xf numFmtId="0" fontId="46" fillId="24" borderId="27" xfId="0" applyFont="1" applyFill="1" applyBorder="1" applyAlignment="1">
      <alignment horizontal="center"/>
    </xf>
    <xf numFmtId="3" fontId="17" fillId="24" borderId="0" xfId="1" applyNumberFormat="1" applyFont="1" applyFill="1" applyBorder="1"/>
    <xf numFmtId="167" fontId="36" fillId="24" borderId="19" xfId="1" applyNumberFormat="1" applyFont="1" applyFill="1" applyBorder="1"/>
    <xf numFmtId="169" fontId="17" fillId="24" borderId="0" xfId="1" quotePrefix="1" applyNumberFormat="1" applyFont="1" applyFill="1" applyBorder="1" applyAlignment="1">
      <alignment horizontal="center"/>
    </xf>
    <xf numFmtId="169" fontId="34" fillId="24" borderId="0" xfId="1" quotePrefix="1" applyNumberFormat="1" applyFont="1" applyFill="1" applyBorder="1" applyAlignment="1">
      <alignment horizontal="center"/>
    </xf>
    <xf numFmtId="168" fontId="17" fillId="24" borderId="50" xfId="0" applyNumberFormat="1" applyFont="1" applyFill="1" applyBorder="1"/>
    <xf numFmtId="167" fontId="17" fillId="16" borderId="22" xfId="1" applyNumberFormat="1" applyFont="1" applyFill="1" applyBorder="1"/>
    <xf numFmtId="167" fontId="36" fillId="16" borderId="67" xfId="1" applyNumberFormat="1" applyFont="1" applyFill="1" applyBorder="1"/>
    <xf numFmtId="3" fontId="17" fillId="24" borderId="0" xfId="0" applyNumberFormat="1" applyFont="1" applyFill="1" applyBorder="1" applyAlignment="1">
      <alignment horizontal="center" wrapText="1"/>
    </xf>
    <xf numFmtId="167" fontId="17" fillId="24" borderId="18" xfId="1" applyNumberFormat="1" applyFont="1" applyFill="1" applyBorder="1"/>
    <xf numFmtId="169" fontId="17" fillId="24" borderId="19" xfId="1" quotePrefix="1" applyNumberFormat="1" applyFont="1" applyFill="1" applyBorder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169" fontId="34" fillId="24" borderId="19" xfId="1" quotePrefix="1" applyNumberFormat="1" applyFont="1" applyFill="1" applyBorder="1" applyAlignment="1">
      <alignment horizontal="center"/>
    </xf>
    <xf numFmtId="168" fontId="17" fillId="24" borderId="0" xfId="0" applyNumberFormat="1" applyFont="1" applyFill="1" applyBorder="1"/>
    <xf numFmtId="175" fontId="0" fillId="0" borderId="0" xfId="0" applyNumberFormat="1"/>
    <xf numFmtId="0" fontId="39" fillId="0" borderId="0" xfId="0" applyFont="1"/>
    <xf numFmtId="3" fontId="44" fillId="0" borderId="0" xfId="0" applyNumberFormat="1" applyFont="1"/>
    <xf numFmtId="0" fontId="44" fillId="0" borderId="0" xfId="0" applyFont="1" applyAlignment="1">
      <alignment vertical="center"/>
    </xf>
    <xf numFmtId="0" fontId="84" fillId="0" borderId="0" xfId="0" applyFont="1"/>
    <xf numFmtId="0" fontId="84" fillId="0" borderId="30" xfId="0" applyFont="1" applyBorder="1"/>
    <xf numFmtId="0" fontId="84" fillId="0" borderId="0" xfId="0" applyFont="1" applyBorder="1"/>
    <xf numFmtId="3" fontId="84" fillId="0" borderId="0" xfId="0" applyNumberFormat="1" applyFont="1" applyBorder="1"/>
    <xf numFmtId="0" fontId="130" fillId="0" borderId="0" xfId="0" applyFont="1"/>
    <xf numFmtId="3" fontId="93" fillId="0" borderId="31" xfId="0" applyNumberFormat="1" applyFont="1" applyBorder="1"/>
    <xf numFmtId="3" fontId="93" fillId="5" borderId="31" xfId="0" applyNumberFormat="1" applyFont="1" applyFill="1" applyBorder="1" applyAlignment="1">
      <alignment vertical="center"/>
    </xf>
    <xf numFmtId="3" fontId="93" fillId="5" borderId="31" xfId="0" applyNumberFormat="1" applyFont="1" applyFill="1" applyBorder="1"/>
    <xf numFmtId="0" fontId="93" fillId="13" borderId="1" xfId="0" applyFont="1" applyFill="1" applyBorder="1"/>
    <xf numFmtId="3" fontId="93" fillId="13" borderId="9" xfId="0" applyNumberFormat="1" applyFont="1" applyFill="1" applyBorder="1" applyAlignment="1">
      <alignment horizontal="center"/>
    </xf>
    <xf numFmtId="3" fontId="93" fillId="6" borderId="9" xfId="0" applyNumberFormat="1" applyFont="1" applyFill="1" applyBorder="1" applyAlignment="1">
      <alignment vertical="center"/>
    </xf>
    <xf numFmtId="3" fontId="93" fillId="6" borderId="9" xfId="0" applyNumberFormat="1" applyFont="1" applyFill="1" applyBorder="1" applyAlignment="1">
      <alignment horizontal="center"/>
    </xf>
    <xf numFmtId="3" fontId="93" fillId="13" borderId="1" xfId="0" applyNumberFormat="1" applyFont="1" applyFill="1" applyBorder="1" applyAlignment="1">
      <alignment vertical="center" wrapText="1"/>
    </xf>
    <xf numFmtId="172" fontId="44" fillId="0" borderId="0" xfId="0" applyNumberFormat="1" applyFont="1" applyAlignment="1">
      <alignment vertical="center"/>
    </xf>
    <xf numFmtId="172" fontId="93" fillId="6" borderId="1" xfId="0" applyNumberFormat="1" applyFont="1" applyFill="1" applyBorder="1" applyAlignment="1">
      <alignment vertical="center" wrapText="1"/>
    </xf>
    <xf numFmtId="3" fontId="94" fillId="0" borderId="0" xfId="0" applyNumberFormat="1" applyFont="1"/>
    <xf numFmtId="172" fontId="44" fillId="0" borderId="0" xfId="0" applyNumberFormat="1" applyFont="1"/>
    <xf numFmtId="0" fontId="94" fillId="0" borderId="0" xfId="0" applyFont="1"/>
    <xf numFmtId="4" fontId="44" fillId="0" borderId="0" xfId="0" applyNumberFormat="1" applyFont="1"/>
    <xf numFmtId="3" fontId="131" fillId="0" borderId="0" xfId="0" applyNumberFormat="1" applyFont="1"/>
    <xf numFmtId="0" fontId="39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13" borderId="32" xfId="0" applyFont="1" applyFill="1" applyBorder="1" applyAlignment="1">
      <alignment horizontal="center" wrapText="1"/>
    </xf>
    <xf numFmtId="0" fontId="20" fillId="13" borderId="33" xfId="0" applyFont="1" applyFill="1" applyBorder="1" applyAlignment="1">
      <alignment horizontal="center" wrapText="1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20" fillId="13" borderId="23" xfId="0" applyFont="1" applyFill="1" applyBorder="1" applyAlignment="1">
      <alignment horizontal="center" vertical="center"/>
    </xf>
    <xf numFmtId="0" fontId="20" fillId="13" borderId="36" xfId="0" applyFont="1" applyFill="1" applyBorder="1" applyAlignment="1">
      <alignment horizontal="center" vertical="center"/>
    </xf>
    <xf numFmtId="0" fontId="20" fillId="13" borderId="29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/>
    </xf>
    <xf numFmtId="0" fontId="20" fillId="7" borderId="4" xfId="0" applyFont="1" applyFill="1" applyBorder="1" applyAlignment="1">
      <alignment horizontal="center"/>
    </xf>
    <xf numFmtId="0" fontId="20" fillId="7" borderId="5" xfId="0" applyFont="1" applyFill="1" applyBorder="1" applyAlignment="1">
      <alignment horizontal="center"/>
    </xf>
    <xf numFmtId="0" fontId="20" fillId="7" borderId="54" xfId="0" applyFont="1" applyFill="1" applyBorder="1" applyAlignment="1">
      <alignment horizontal="center" vertical="center" wrapText="1"/>
    </xf>
    <xf numFmtId="0" fontId="20" fillId="7" borderId="56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/>
    </xf>
    <xf numFmtId="0" fontId="20" fillId="8" borderId="4" xfId="0" applyFont="1" applyFill="1" applyBorder="1" applyAlignment="1">
      <alignment horizontal="center"/>
    </xf>
    <xf numFmtId="0" fontId="20" fillId="8" borderId="5" xfId="0" applyFont="1" applyFill="1" applyBorder="1" applyAlignment="1">
      <alignment horizontal="center"/>
    </xf>
    <xf numFmtId="0" fontId="11" fillId="0" borderId="3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7" fillId="7" borderId="32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3" fontId="39" fillId="0" borderId="31" xfId="0" applyNumberFormat="1" applyFont="1" applyBorder="1" applyAlignment="1">
      <alignment horizontal="left"/>
    </xf>
    <xf numFmtId="172" fontId="94" fillId="0" borderId="0" xfId="1" applyNumberFormat="1" applyFont="1" applyAlignment="1">
      <alignment horizontal="center" vertical="center"/>
    </xf>
    <xf numFmtId="172" fontId="94" fillId="0" borderId="30" xfId="0" applyNumberFormat="1" applyFont="1" applyBorder="1" applyAlignment="1">
      <alignment horizontal="center" vertical="center"/>
    </xf>
    <xf numFmtId="172" fontId="94" fillId="0" borderId="0" xfId="0" applyNumberFormat="1" applyFont="1" applyAlignment="1">
      <alignment horizontal="center" vertical="center"/>
    </xf>
    <xf numFmtId="3" fontId="93" fillId="6" borderId="3" xfId="0" applyNumberFormat="1" applyFont="1" applyFill="1" applyBorder="1" applyAlignment="1">
      <alignment horizontal="center"/>
    </xf>
    <xf numFmtId="3" fontId="93" fillId="6" borderId="4" xfId="0" applyNumberFormat="1" applyFont="1" applyFill="1" applyBorder="1" applyAlignment="1">
      <alignment horizontal="center"/>
    </xf>
    <xf numFmtId="3" fontId="93" fillId="6" borderId="5" xfId="0" applyNumberFormat="1" applyFont="1" applyFill="1" applyBorder="1" applyAlignment="1">
      <alignment horizontal="center"/>
    </xf>
    <xf numFmtId="3" fontId="93" fillId="6" borderId="3" xfId="0" applyNumberFormat="1" applyFont="1" applyFill="1" applyBorder="1" applyAlignment="1">
      <alignment horizontal="center" vertical="center"/>
    </xf>
    <xf numFmtId="3" fontId="93" fillId="6" borderId="4" xfId="0" applyNumberFormat="1" applyFont="1" applyFill="1" applyBorder="1" applyAlignment="1">
      <alignment horizontal="center" vertical="center"/>
    </xf>
    <xf numFmtId="3" fontId="93" fillId="6" borderId="5" xfId="0" applyNumberFormat="1" applyFont="1" applyFill="1" applyBorder="1" applyAlignment="1">
      <alignment horizontal="center" vertical="center"/>
    </xf>
    <xf numFmtId="172" fontId="93" fillId="6" borderId="3" xfId="0" applyNumberFormat="1" applyFont="1" applyFill="1" applyBorder="1" applyAlignment="1">
      <alignment horizontal="center" vertical="center"/>
    </xf>
    <xf numFmtId="172" fontId="93" fillId="6" borderId="4" xfId="0" applyNumberFormat="1" applyFont="1" applyFill="1" applyBorder="1" applyAlignment="1">
      <alignment horizontal="center" vertical="center"/>
    </xf>
    <xf numFmtId="172" fontId="93" fillId="6" borderId="5" xfId="0" applyNumberFormat="1" applyFont="1" applyFill="1" applyBorder="1" applyAlignment="1">
      <alignment horizontal="center" vertical="center"/>
    </xf>
    <xf numFmtId="3" fontId="93" fillId="13" borderId="3" xfId="0" applyNumberFormat="1" applyFont="1" applyFill="1" applyBorder="1" applyAlignment="1">
      <alignment horizontal="center"/>
    </xf>
    <xf numFmtId="3" fontId="93" fillId="13" borderId="4" xfId="0" applyNumberFormat="1" applyFont="1" applyFill="1" applyBorder="1" applyAlignment="1">
      <alignment horizontal="center"/>
    </xf>
    <xf numFmtId="3" fontId="93" fillId="13" borderId="5" xfId="0" applyNumberFormat="1" applyFont="1" applyFill="1" applyBorder="1" applyAlignment="1">
      <alignment horizontal="center"/>
    </xf>
    <xf numFmtId="3" fontId="93" fillId="13" borderId="3" xfId="0" applyNumberFormat="1" applyFont="1" applyFill="1" applyBorder="1" applyAlignment="1">
      <alignment horizontal="center" vertical="center"/>
    </xf>
    <xf numFmtId="3" fontId="93" fillId="13" borderId="4" xfId="0" applyNumberFormat="1" applyFont="1" applyFill="1" applyBorder="1" applyAlignment="1">
      <alignment horizontal="center" vertical="center"/>
    </xf>
    <xf numFmtId="3" fontId="93" fillId="13" borderId="5" xfId="0" applyNumberFormat="1" applyFont="1" applyFill="1" applyBorder="1" applyAlignment="1">
      <alignment horizontal="center" vertical="center"/>
    </xf>
    <xf numFmtId="172" fontId="93" fillId="13" borderId="3" xfId="0" applyNumberFormat="1" applyFont="1" applyFill="1" applyBorder="1" applyAlignment="1">
      <alignment horizontal="center" vertical="center"/>
    </xf>
    <xf numFmtId="172" fontId="93" fillId="13" borderId="4" xfId="0" applyNumberFormat="1" applyFont="1" applyFill="1" applyBorder="1" applyAlignment="1">
      <alignment horizontal="center" vertical="center"/>
    </xf>
    <xf numFmtId="172" fontId="93" fillId="13" borderId="5" xfId="0" applyNumberFormat="1" applyFont="1" applyFill="1" applyBorder="1" applyAlignment="1">
      <alignment horizontal="center" vertical="center"/>
    </xf>
    <xf numFmtId="172" fontId="94" fillId="0" borderId="30" xfId="1" applyNumberFormat="1" applyFont="1" applyBorder="1" applyAlignment="1">
      <alignment horizontal="center" vertical="center"/>
    </xf>
    <xf numFmtId="172" fontId="93" fillId="6" borderId="3" xfId="1" applyNumberFormat="1" applyFont="1" applyFill="1" applyBorder="1" applyAlignment="1">
      <alignment horizontal="center" vertical="center"/>
    </xf>
    <xf numFmtId="172" fontId="93" fillId="6" borderId="4" xfId="1" applyNumberFormat="1" applyFont="1" applyFill="1" applyBorder="1" applyAlignment="1">
      <alignment horizontal="center" vertical="center"/>
    </xf>
    <xf numFmtId="172" fontId="93" fillId="6" borderId="5" xfId="1" applyNumberFormat="1" applyFont="1" applyFill="1" applyBorder="1" applyAlignment="1">
      <alignment horizontal="center" vertical="center"/>
    </xf>
    <xf numFmtId="3" fontId="131" fillId="0" borderId="0" xfId="0" applyNumberFormat="1" applyFont="1" applyAlignment="1">
      <alignment horizontal="center" vertical="center"/>
    </xf>
    <xf numFmtId="3" fontId="15" fillId="6" borderId="3" xfId="0" applyNumberFormat="1" applyFont="1" applyFill="1" applyBorder="1" applyAlignment="1">
      <alignment horizontal="center"/>
    </xf>
    <xf numFmtId="3" fontId="15" fillId="6" borderId="4" xfId="0" applyNumberFormat="1" applyFont="1" applyFill="1" applyBorder="1" applyAlignment="1">
      <alignment horizontal="center"/>
    </xf>
    <xf numFmtId="3" fontId="15" fillId="6" borderId="5" xfId="0" applyNumberFormat="1" applyFont="1" applyFill="1" applyBorder="1" applyAlignment="1">
      <alignment horizontal="center"/>
    </xf>
    <xf numFmtId="3" fontId="76" fillId="14" borderId="31" xfId="0" applyNumberFormat="1" applyFont="1" applyFill="1" applyBorder="1" applyAlignment="1">
      <alignment horizontal="left"/>
    </xf>
    <xf numFmtId="3" fontId="39" fillId="14" borderId="31" xfId="0" applyNumberFormat="1" applyFont="1" applyFill="1" applyBorder="1" applyAlignment="1">
      <alignment horizontal="left"/>
    </xf>
    <xf numFmtId="3" fontId="15" fillId="13" borderId="3" xfId="0" applyNumberFormat="1" applyFont="1" applyFill="1" applyBorder="1" applyAlignment="1">
      <alignment horizontal="center"/>
    </xf>
    <xf numFmtId="3" fontId="15" fillId="13" borderId="4" xfId="0" applyNumberFormat="1" applyFont="1" applyFill="1" applyBorder="1" applyAlignment="1">
      <alignment horizontal="center"/>
    </xf>
    <xf numFmtId="3" fontId="15" fillId="13" borderId="5" xfId="0" applyNumberFormat="1" applyFont="1" applyFill="1" applyBorder="1" applyAlignment="1">
      <alignment horizontal="center"/>
    </xf>
    <xf numFmtId="3" fontId="8" fillId="0" borderId="31" xfId="0" applyNumberFormat="1" applyFont="1" applyBorder="1" applyAlignment="1">
      <alignment horizontal="left"/>
    </xf>
    <xf numFmtId="0" fontId="48" fillId="14" borderId="0" xfId="0" applyFont="1" applyFill="1" applyAlignment="1">
      <alignment horizontal="left"/>
    </xf>
    <xf numFmtId="0" fontId="3" fillId="5" borderId="49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/>
    </xf>
    <xf numFmtId="0" fontId="39" fillId="20" borderId="26" xfId="0" applyFont="1" applyFill="1" applyBorder="1" applyAlignment="1">
      <alignment horizontal="center"/>
    </xf>
    <xf numFmtId="0" fontId="39" fillId="20" borderId="27" xfId="0" applyFont="1" applyFill="1" applyBorder="1" applyAlignment="1">
      <alignment horizontal="center"/>
    </xf>
    <xf numFmtId="0" fontId="39" fillId="20" borderId="47" xfId="0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3" fontId="8" fillId="0" borderId="17" xfId="0" applyNumberFormat="1" applyFont="1" applyBorder="1" applyAlignment="1">
      <alignment horizontal="center" wrapText="1"/>
    </xf>
    <xf numFmtId="3" fontId="8" fillId="0" borderId="22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55" fillId="0" borderId="16" xfId="0" applyNumberFormat="1" applyFont="1" applyBorder="1" applyAlignment="1">
      <alignment horizontal="center" vertical="center" wrapText="1"/>
    </xf>
    <xf numFmtId="3" fontId="55" fillId="0" borderId="2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111" fillId="6" borderId="3" xfId="0" applyNumberFormat="1" applyFont="1" applyFill="1" applyBorder="1" applyAlignment="1">
      <alignment horizontal="center" vertical="center"/>
    </xf>
    <xf numFmtId="167" fontId="111" fillId="6" borderId="4" xfId="0" applyNumberFormat="1" applyFont="1" applyFill="1" applyBorder="1" applyAlignment="1">
      <alignment horizontal="center" vertical="center"/>
    </xf>
    <xf numFmtId="167" fontId="111" fillId="6" borderId="5" xfId="0" applyNumberFormat="1" applyFont="1" applyFill="1" applyBorder="1" applyAlignment="1">
      <alignment horizontal="center" vertical="center"/>
    </xf>
    <xf numFmtId="3" fontId="111" fillId="6" borderId="3" xfId="0" applyNumberFormat="1" applyFont="1" applyFill="1" applyBorder="1" applyAlignment="1">
      <alignment horizontal="center" vertical="center"/>
    </xf>
    <xf numFmtId="3" fontId="111" fillId="6" borderId="4" xfId="0" applyNumberFormat="1" applyFont="1" applyFill="1" applyBorder="1" applyAlignment="1">
      <alignment horizontal="center" vertical="center"/>
    </xf>
    <xf numFmtId="3" fontId="111" fillId="6" borderId="5" xfId="0" applyNumberFormat="1" applyFont="1" applyFill="1" applyBorder="1" applyAlignment="1">
      <alignment horizontal="center" vertical="center"/>
    </xf>
    <xf numFmtId="3" fontId="18" fillId="0" borderId="15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08" fillId="6" borderId="3" xfId="0" applyNumberFormat="1" applyFont="1" applyFill="1" applyBorder="1" applyAlignment="1">
      <alignment horizontal="center" vertical="center"/>
    </xf>
    <xf numFmtId="3" fontId="108" fillId="6" borderId="4" xfId="0" applyNumberFormat="1" applyFont="1" applyFill="1" applyBorder="1" applyAlignment="1">
      <alignment horizontal="center" vertical="center"/>
    </xf>
    <xf numFmtId="3" fontId="108" fillId="6" borderId="5" xfId="0" applyNumberFormat="1" applyFont="1" applyFill="1" applyBorder="1" applyAlignment="1">
      <alignment horizontal="center" vertical="center"/>
    </xf>
    <xf numFmtId="0" fontId="20" fillId="7" borderId="49" xfId="0" applyFont="1" applyFill="1" applyBorder="1" applyAlignment="1">
      <alignment horizontal="center" vertical="center"/>
    </xf>
    <xf numFmtId="0" fontId="20" fillId="7" borderId="51" xfId="0" applyFont="1" applyFill="1" applyBorder="1" applyAlignment="1">
      <alignment horizontal="center" vertical="center"/>
    </xf>
    <xf numFmtId="0" fontId="68" fillId="7" borderId="16" xfId="0" applyFont="1" applyFill="1" applyBorder="1" applyAlignment="1">
      <alignment horizontal="center" vertical="center" wrapText="1"/>
    </xf>
    <xf numFmtId="0" fontId="68" fillId="7" borderId="21" xfId="0" applyFont="1" applyFill="1" applyBorder="1" applyAlignment="1">
      <alignment horizontal="center" vertical="center" wrapText="1"/>
    </xf>
    <xf numFmtId="0" fontId="68" fillId="7" borderId="15" xfId="0" applyFont="1" applyFill="1" applyBorder="1" applyAlignment="1">
      <alignment horizontal="center" vertical="center" wrapText="1"/>
    </xf>
    <xf numFmtId="0" fontId="68" fillId="7" borderId="20" xfId="0" applyFont="1" applyFill="1" applyBorder="1" applyAlignment="1">
      <alignment horizontal="center" vertical="center" wrapText="1"/>
    </xf>
    <xf numFmtId="3" fontId="18" fillId="7" borderId="16" xfId="0" applyNumberFormat="1" applyFont="1" applyFill="1" applyBorder="1" applyAlignment="1">
      <alignment horizontal="center" vertical="center"/>
    </xf>
    <xf numFmtId="3" fontId="18" fillId="7" borderId="21" xfId="0" applyNumberFormat="1" applyFont="1" applyFill="1" applyBorder="1" applyAlignment="1">
      <alignment horizontal="center" vertical="center"/>
    </xf>
    <xf numFmtId="0" fontId="68" fillId="7" borderId="17" xfId="0" applyFont="1" applyFill="1" applyBorder="1" applyAlignment="1">
      <alignment horizontal="center" vertical="center" wrapText="1"/>
    </xf>
    <xf numFmtId="0" fontId="68" fillId="7" borderId="22" xfId="0" applyFont="1" applyFill="1" applyBorder="1" applyAlignment="1">
      <alignment horizontal="center" vertical="center" wrapText="1"/>
    </xf>
    <xf numFmtId="166" fontId="63" fillId="17" borderId="15" xfId="0" applyNumberFormat="1" applyFont="1" applyFill="1" applyBorder="1" applyAlignment="1">
      <alignment horizontal="center" vertical="center" wrapText="1"/>
    </xf>
    <xf numFmtId="166" fontId="63" fillId="17" borderId="16" xfId="0" applyNumberFormat="1" applyFont="1" applyFill="1" applyBorder="1" applyAlignment="1">
      <alignment horizontal="center" vertical="center" wrapText="1"/>
    </xf>
    <xf numFmtId="166" fontId="63" fillId="17" borderId="20" xfId="0" applyNumberFormat="1" applyFont="1" applyFill="1" applyBorder="1" applyAlignment="1">
      <alignment horizontal="center" vertical="center" wrapText="1"/>
    </xf>
    <xf numFmtId="166" fontId="63" fillId="17" borderId="21" xfId="0" applyNumberFormat="1" applyFont="1" applyFill="1" applyBorder="1" applyAlignment="1">
      <alignment horizontal="center" vertical="center" wrapText="1"/>
    </xf>
    <xf numFmtId="0" fontId="68" fillId="17" borderId="16" xfId="0" applyFont="1" applyFill="1" applyBorder="1" applyAlignment="1">
      <alignment horizontal="center" vertical="center" wrapText="1"/>
    </xf>
    <xf numFmtId="0" fontId="68" fillId="17" borderId="21" xfId="0" applyFont="1" applyFill="1" applyBorder="1" applyAlignment="1">
      <alignment horizontal="center" vertical="center" wrapText="1"/>
    </xf>
    <xf numFmtId="166" fontId="63" fillId="7" borderId="15" xfId="0" applyNumberFormat="1" applyFont="1" applyFill="1" applyBorder="1" applyAlignment="1">
      <alignment horizontal="center" vertical="center" wrapText="1"/>
    </xf>
    <xf numFmtId="166" fontId="63" fillId="7" borderId="16" xfId="0" applyNumberFormat="1" applyFont="1" applyFill="1" applyBorder="1" applyAlignment="1">
      <alignment horizontal="center" vertical="center" wrapText="1"/>
    </xf>
    <xf numFmtId="166" fontId="63" fillId="7" borderId="18" xfId="0" applyNumberFormat="1" applyFont="1" applyFill="1" applyBorder="1" applyAlignment="1">
      <alignment horizontal="center" vertical="center" wrapText="1"/>
    </xf>
    <xf numFmtId="166" fontId="63" fillId="7" borderId="0" xfId="0" applyNumberFormat="1" applyFont="1" applyFill="1" applyAlignment="1">
      <alignment horizontal="center" vertical="center" wrapText="1"/>
    </xf>
    <xf numFmtId="0" fontId="68" fillId="17" borderId="17" xfId="0" applyFont="1" applyFill="1" applyBorder="1" applyAlignment="1">
      <alignment horizontal="center" vertical="center" wrapText="1"/>
    </xf>
    <xf numFmtId="0" fontId="68" fillId="17" borderId="22" xfId="0" applyFont="1" applyFill="1" applyBorder="1" applyAlignment="1">
      <alignment horizontal="center" vertical="center" wrapText="1"/>
    </xf>
    <xf numFmtId="0" fontId="68" fillId="17" borderId="15" xfId="0" applyFont="1" applyFill="1" applyBorder="1" applyAlignment="1">
      <alignment horizontal="center" vertical="center" wrapText="1"/>
    </xf>
    <xf numFmtId="0" fontId="68" fillId="17" borderId="20" xfId="0" applyFont="1" applyFill="1" applyBorder="1" applyAlignment="1">
      <alignment horizontal="center" vertical="center" wrapText="1"/>
    </xf>
    <xf numFmtId="0" fontId="18" fillId="17" borderId="17" xfId="0" applyFont="1" applyFill="1" applyBorder="1" applyAlignment="1">
      <alignment horizontal="center" vertical="center"/>
    </xf>
    <xf numFmtId="0" fontId="18" fillId="17" borderId="22" xfId="0" applyFont="1" applyFill="1" applyBorder="1" applyAlignment="1">
      <alignment horizontal="center" vertical="center"/>
    </xf>
    <xf numFmtId="166" fontId="39" fillId="17" borderId="15" xfId="0" applyNumberFormat="1" applyFont="1" applyFill="1" applyBorder="1" applyAlignment="1">
      <alignment horizontal="center" vertical="center" wrapText="1"/>
    </xf>
    <xf numFmtId="166" fontId="39" fillId="17" borderId="16" xfId="0" applyNumberFormat="1" applyFont="1" applyFill="1" applyBorder="1" applyAlignment="1">
      <alignment horizontal="center" vertical="center" wrapText="1"/>
    </xf>
    <xf numFmtId="166" fontId="39" fillId="17" borderId="17" xfId="0" applyNumberFormat="1" applyFont="1" applyFill="1" applyBorder="1" applyAlignment="1">
      <alignment horizontal="center" vertical="center" wrapText="1"/>
    </xf>
    <xf numFmtId="166" fontId="39" fillId="17" borderId="20" xfId="0" applyNumberFormat="1" applyFont="1" applyFill="1" applyBorder="1" applyAlignment="1">
      <alignment horizontal="center" vertical="center" wrapText="1"/>
    </xf>
    <xf numFmtId="166" fontId="39" fillId="17" borderId="21" xfId="0" applyNumberFormat="1" applyFont="1" applyFill="1" applyBorder="1" applyAlignment="1">
      <alignment horizontal="center" vertical="center" wrapText="1"/>
    </xf>
    <xf numFmtId="166" fontId="39" fillId="17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48" fillId="22" borderId="26" xfId="0" applyFont="1" applyFill="1" applyBorder="1" applyAlignment="1">
      <alignment horizontal="center"/>
    </xf>
    <xf numFmtId="0" fontId="48" fillId="22" borderId="27" xfId="0" applyFont="1" applyFill="1" applyBorder="1" applyAlignment="1">
      <alignment horizontal="center"/>
    </xf>
    <xf numFmtId="3" fontId="67" fillId="7" borderId="16" xfId="0" applyNumberFormat="1" applyFont="1" applyFill="1" applyBorder="1" applyAlignment="1">
      <alignment horizontal="center" vertical="center" wrapText="1"/>
    </xf>
    <xf numFmtId="3" fontId="67" fillId="7" borderId="21" xfId="0" applyNumberFormat="1" applyFont="1" applyFill="1" applyBorder="1" applyAlignment="1">
      <alignment horizontal="center" vertical="center" wrapText="1"/>
    </xf>
    <xf numFmtId="0" fontId="18" fillId="7" borderId="17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/>
    </xf>
    <xf numFmtId="3" fontId="18" fillId="7" borderId="16" xfId="0" applyNumberFormat="1" applyFont="1" applyFill="1" applyBorder="1" applyAlignment="1">
      <alignment horizontal="center" vertical="center" wrapText="1"/>
    </xf>
    <xf numFmtId="3" fontId="18" fillId="7" borderId="21" xfId="0" applyNumberFormat="1" applyFont="1" applyFill="1" applyBorder="1" applyAlignment="1">
      <alignment horizontal="center" vertical="center" wrapText="1"/>
    </xf>
    <xf numFmtId="167" fontId="18" fillId="7" borderId="15" xfId="0" applyNumberFormat="1" applyFont="1" applyFill="1" applyBorder="1" applyAlignment="1">
      <alignment horizontal="center" vertical="center"/>
    </xf>
    <xf numFmtId="167" fontId="18" fillId="7" borderId="20" xfId="0" applyNumberFormat="1" applyFont="1" applyFill="1" applyBorder="1" applyAlignment="1">
      <alignment horizontal="center" vertical="center"/>
    </xf>
    <xf numFmtId="166" fontId="39" fillId="7" borderId="15" xfId="0" applyNumberFormat="1" applyFont="1" applyFill="1" applyBorder="1" applyAlignment="1">
      <alignment horizontal="center" vertical="center" wrapText="1"/>
    </xf>
    <xf numFmtId="166" fontId="39" fillId="7" borderId="16" xfId="0" applyNumberFormat="1" applyFont="1" applyFill="1" applyBorder="1" applyAlignment="1">
      <alignment horizontal="center" vertical="center" wrapText="1"/>
    </xf>
    <xf numFmtId="166" fontId="39" fillId="7" borderId="17" xfId="0" applyNumberFormat="1" applyFont="1" applyFill="1" applyBorder="1" applyAlignment="1">
      <alignment horizontal="center" vertical="center" wrapText="1"/>
    </xf>
    <xf numFmtId="166" fontId="39" fillId="7" borderId="20" xfId="0" applyNumberFormat="1" applyFont="1" applyFill="1" applyBorder="1" applyAlignment="1">
      <alignment horizontal="center" vertical="center" wrapText="1"/>
    </xf>
    <xf numFmtId="166" fontId="39" fillId="7" borderId="21" xfId="0" applyNumberFormat="1" applyFont="1" applyFill="1" applyBorder="1" applyAlignment="1">
      <alignment horizontal="center" vertical="center" wrapText="1"/>
    </xf>
    <xf numFmtId="166" fontId="39" fillId="7" borderId="22" xfId="0" applyNumberFormat="1" applyFont="1" applyFill="1" applyBorder="1" applyAlignment="1">
      <alignment horizontal="center" vertical="center" wrapText="1"/>
    </xf>
    <xf numFmtId="167" fontId="18" fillId="17" borderId="15" xfId="0" applyNumberFormat="1" applyFont="1" applyFill="1" applyBorder="1" applyAlignment="1">
      <alignment horizontal="center" vertical="center"/>
    </xf>
    <xf numFmtId="167" fontId="18" fillId="17" borderId="20" xfId="0" applyNumberFormat="1" applyFont="1" applyFill="1" applyBorder="1" applyAlignment="1">
      <alignment horizontal="center" vertical="center"/>
    </xf>
    <xf numFmtId="3" fontId="18" fillId="17" borderId="16" xfId="0" applyNumberFormat="1" applyFont="1" applyFill="1" applyBorder="1" applyAlignment="1">
      <alignment horizontal="center" vertical="center" wrapText="1"/>
    </xf>
    <xf numFmtId="3" fontId="18" fillId="17" borderId="21" xfId="0" applyNumberFormat="1" applyFont="1" applyFill="1" applyBorder="1" applyAlignment="1">
      <alignment horizontal="center" vertical="center" wrapText="1"/>
    </xf>
    <xf numFmtId="3" fontId="18" fillId="17" borderId="16" xfId="0" applyNumberFormat="1" applyFont="1" applyFill="1" applyBorder="1" applyAlignment="1">
      <alignment horizontal="center" vertical="center"/>
    </xf>
    <xf numFmtId="3" fontId="18" fillId="17" borderId="21" xfId="0" applyNumberFormat="1" applyFont="1" applyFill="1" applyBorder="1" applyAlignment="1">
      <alignment horizontal="center" vertical="center"/>
    </xf>
    <xf numFmtId="3" fontId="67" fillId="17" borderId="16" xfId="0" applyNumberFormat="1" applyFont="1" applyFill="1" applyBorder="1" applyAlignment="1">
      <alignment horizontal="center" vertical="center" wrapText="1"/>
    </xf>
    <xf numFmtId="3" fontId="67" fillId="17" borderId="21" xfId="0" applyNumberFormat="1" applyFont="1" applyFill="1" applyBorder="1" applyAlignment="1">
      <alignment horizontal="center" vertical="center" wrapText="1"/>
    </xf>
    <xf numFmtId="0" fontId="124" fillId="38" borderId="31" xfId="0" applyFont="1" applyFill="1" applyBorder="1" applyAlignment="1">
      <alignment horizontal="center" vertical="center"/>
    </xf>
    <xf numFmtId="0" fontId="0" fillId="13" borderId="1" xfId="0" applyFont="1" applyFill="1" applyBorder="1" applyAlignment="1">
      <alignment vertical="center"/>
    </xf>
    <xf numFmtId="3" fontId="0" fillId="13" borderId="1" xfId="0" applyNumberFormat="1" applyFont="1" applyFill="1" applyBorder="1" applyAlignment="1">
      <alignment horizontal="center" vertical="center"/>
    </xf>
    <xf numFmtId="3" fontId="0" fillId="13" borderId="1" xfId="0" applyNumberFormat="1" applyFont="1" applyFill="1" applyBorder="1" applyAlignment="1">
      <alignment horizontal="center" vertical="center" wrapText="1"/>
    </xf>
    <xf numFmtId="3" fontId="3" fillId="0" borderId="31" xfId="0" applyNumberFormat="1" applyFont="1" applyBorder="1" applyAlignment="1">
      <alignment horizontal="left"/>
    </xf>
    <xf numFmtId="0" fontId="0" fillId="0" borderId="0" xfId="0" applyFont="1"/>
    <xf numFmtId="3" fontId="0" fillId="0" borderId="0" xfId="0" applyNumberFormat="1" applyFont="1"/>
    <xf numFmtId="0" fontId="0" fillId="6" borderId="1" xfId="0" applyFont="1" applyFill="1" applyBorder="1" applyAlignment="1">
      <alignment vertical="center"/>
    </xf>
    <xf numFmtId="3" fontId="0" fillId="6" borderId="1" xfId="0" applyNumberFormat="1" applyFont="1" applyFill="1" applyBorder="1" applyAlignment="1">
      <alignment horizontal="center" vertical="center"/>
    </xf>
    <xf numFmtId="3" fontId="0" fillId="6" borderId="1" xfId="0" applyNumberFormat="1" applyFont="1" applyFill="1" applyBorder="1" applyAlignment="1">
      <alignment horizontal="center" vertical="center" wrapText="1"/>
    </xf>
    <xf numFmtId="167" fontId="0" fillId="0" borderId="0" xfId="0" applyNumberFormat="1" applyFont="1" applyAlignment="1">
      <alignment wrapText="1"/>
    </xf>
    <xf numFmtId="0" fontId="0" fillId="0" borderId="0" xfId="0" applyFont="1" applyAlignment="1">
      <alignment vertical="center"/>
    </xf>
    <xf numFmtId="3" fontId="0" fillId="0" borderId="0" xfId="0" applyNumberFormat="1" applyFont="1" applyAlignment="1">
      <alignment vertical="center"/>
    </xf>
    <xf numFmtId="167" fontId="36" fillId="24" borderId="56" xfId="1" applyNumberFormat="1" applyFont="1" applyFill="1" applyBorder="1"/>
    <xf numFmtId="3" fontId="16" fillId="24" borderId="0" xfId="0" applyNumberFormat="1" applyFont="1" applyFill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4" fontId="90" fillId="24" borderId="0" xfId="0" applyNumberFormat="1" applyFont="1" applyFill="1" applyBorder="1" applyAlignment="1">
      <alignment horizontal="center"/>
    </xf>
    <xf numFmtId="168" fontId="17" fillId="24" borderId="18" xfId="0" applyNumberFormat="1" applyFont="1" applyFill="1" applyBorder="1"/>
  </cellXfs>
  <cellStyles count="5">
    <cellStyle name="Calculation" xfId="4" builtinId="22"/>
    <cellStyle name="Comma" xfId="1" builtinId="3"/>
    <cellStyle name="Comma 2" xfId="2"/>
    <cellStyle name="Normal" xfId="0" builtinId="0"/>
    <cellStyle name="Normal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FF3300"/>
      <color rgb="FFFFFF66"/>
      <color rgb="FFC7090E"/>
      <color rgb="FFFFFF99"/>
      <color rgb="FF99FFCC"/>
      <color rgb="FFA9D08E"/>
      <color rgb="FF99FF66"/>
      <color rgb="FF00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"/>
  <sheetViews>
    <sheetView view="pageBreakPreview" zoomScale="96" zoomScaleNormal="112" zoomScaleSheetLayoutView="96" workbookViewId="0">
      <selection activeCell="N14" sqref="N14"/>
    </sheetView>
  </sheetViews>
  <sheetFormatPr defaultColWidth="9.140625" defaultRowHeight="12.75" x14ac:dyDescent="0.2"/>
  <cols>
    <col min="1" max="1" width="23.5703125" style="30" customWidth="1"/>
    <col min="2" max="2" width="17" style="30" customWidth="1"/>
    <col min="3" max="3" width="9.85546875" style="30" bestFit="1" customWidth="1"/>
    <col min="4" max="4" width="9.7109375" style="30" customWidth="1"/>
    <col min="5" max="5" width="12.28515625" style="477" customWidth="1"/>
    <col min="6" max="6" width="8.5703125" style="30" customWidth="1"/>
    <col min="7" max="7" width="10.85546875" style="30" customWidth="1"/>
    <col min="8" max="8" width="9.42578125" style="30" customWidth="1"/>
    <col min="9" max="9" width="10.5703125" style="31" customWidth="1"/>
    <col min="10" max="10" width="8" style="30" customWidth="1"/>
    <col min="11" max="11" width="10.85546875" style="31" customWidth="1"/>
    <col min="12" max="12" width="9.5703125" style="30" customWidth="1"/>
    <col min="13" max="13" width="19.42578125" style="30" customWidth="1"/>
    <col min="14" max="14" width="27" style="30" customWidth="1"/>
    <col min="15" max="16384" width="9.140625" style="30"/>
  </cols>
  <sheetData>
    <row r="1" spans="1:14" ht="18" customHeight="1" x14ac:dyDescent="0.3">
      <c r="A1" s="877" t="s">
        <v>154</v>
      </c>
      <c r="B1" s="877"/>
      <c r="C1" s="877"/>
      <c r="D1" s="877"/>
      <c r="E1" s="877"/>
      <c r="F1" s="877"/>
      <c r="G1" s="877"/>
      <c r="H1" s="877"/>
      <c r="I1" s="877"/>
      <c r="J1" s="877"/>
      <c r="K1" s="877"/>
      <c r="L1" s="877"/>
      <c r="M1" s="877"/>
      <c r="N1" s="877"/>
    </row>
    <row r="2" spans="1:14" ht="18.75" x14ac:dyDescent="0.3">
      <c r="A2" s="877" t="s">
        <v>418</v>
      </c>
      <c r="B2" s="877"/>
      <c r="C2" s="877"/>
      <c r="D2" s="877"/>
      <c r="E2" s="877"/>
      <c r="F2" s="877"/>
      <c r="G2" s="877"/>
      <c r="H2" s="877"/>
      <c r="I2" s="877"/>
      <c r="J2" s="877"/>
      <c r="K2" s="877"/>
      <c r="L2" s="877"/>
      <c r="M2" s="877"/>
      <c r="N2" s="877"/>
    </row>
    <row r="3" spans="1:14" ht="13.5" thickBot="1" x14ac:dyDescent="0.25">
      <c r="E3" s="490"/>
      <c r="F3" s="491"/>
      <c r="I3" s="43"/>
    </row>
    <row r="4" spans="1:14" s="36" customFormat="1" ht="35.25" customHeight="1" x14ac:dyDescent="0.2">
      <c r="A4" s="886" t="s">
        <v>41</v>
      </c>
      <c r="B4" s="903" t="s">
        <v>42</v>
      </c>
      <c r="C4" s="906" t="s">
        <v>40</v>
      </c>
      <c r="D4" s="907"/>
      <c r="E4" s="907"/>
      <c r="F4" s="908"/>
      <c r="G4" s="909" t="s">
        <v>123</v>
      </c>
      <c r="H4" s="910"/>
      <c r="I4" s="910"/>
      <c r="J4" s="911"/>
      <c r="K4" s="884" t="s">
        <v>84</v>
      </c>
      <c r="L4" s="885"/>
      <c r="M4" s="878" t="s">
        <v>82</v>
      </c>
      <c r="N4" s="879"/>
    </row>
    <row r="5" spans="1:14" s="36" customFormat="1" ht="12" x14ac:dyDescent="0.2">
      <c r="A5" s="887"/>
      <c r="B5" s="904"/>
      <c r="C5" s="895" t="s">
        <v>45</v>
      </c>
      <c r="D5" s="896"/>
      <c r="E5" s="897"/>
      <c r="F5" s="898" t="s">
        <v>83</v>
      </c>
      <c r="G5" s="900" t="s">
        <v>45</v>
      </c>
      <c r="H5" s="901"/>
      <c r="I5" s="902"/>
      <c r="J5" s="893" t="s">
        <v>83</v>
      </c>
      <c r="K5" s="889" t="s">
        <v>45</v>
      </c>
      <c r="L5" s="891" t="s">
        <v>83</v>
      </c>
      <c r="M5" s="880" t="s">
        <v>43</v>
      </c>
      <c r="N5" s="882" t="s">
        <v>44</v>
      </c>
    </row>
    <row r="6" spans="1:14" s="36" customFormat="1" ht="36" customHeight="1" thickBot="1" x14ac:dyDescent="0.25">
      <c r="A6" s="888"/>
      <c r="B6" s="905"/>
      <c r="C6" s="149" t="s">
        <v>43</v>
      </c>
      <c r="D6" s="460" t="s">
        <v>44</v>
      </c>
      <c r="E6" s="478" t="s">
        <v>24</v>
      </c>
      <c r="F6" s="899"/>
      <c r="G6" s="151" t="s">
        <v>43</v>
      </c>
      <c r="H6" s="151" t="s">
        <v>44</v>
      </c>
      <c r="I6" s="151" t="s">
        <v>24</v>
      </c>
      <c r="J6" s="894"/>
      <c r="K6" s="890"/>
      <c r="L6" s="892"/>
      <c r="M6" s="881"/>
      <c r="N6" s="883"/>
    </row>
    <row r="7" spans="1:14" s="33" customFormat="1" x14ac:dyDescent="0.2">
      <c r="A7" s="215" t="s">
        <v>85</v>
      </c>
      <c r="B7" s="216"/>
      <c r="C7" s="217"/>
      <c r="D7" s="461"/>
      <c r="E7" s="479"/>
      <c r="F7" s="469"/>
      <c r="G7" s="217"/>
      <c r="H7" s="217"/>
      <c r="I7" s="218"/>
      <c r="J7" s="219"/>
      <c r="K7" s="220">
        <f>E7+I7</f>
        <v>0</v>
      </c>
      <c r="L7" s="221"/>
      <c r="M7" s="222"/>
      <c r="N7" s="223"/>
    </row>
    <row r="8" spans="1:14" s="98" customFormat="1" ht="22.5" x14ac:dyDescent="0.2">
      <c r="A8" s="134" t="s">
        <v>53</v>
      </c>
      <c r="B8" s="135" t="s">
        <v>58</v>
      </c>
      <c r="C8" s="150">
        <f>'ACT-RDT-PQ BY AMS'!C10</f>
        <v>144750</v>
      </c>
      <c r="D8" s="462">
        <f>'ACT-RDT-PQ BY AMS'!C11</f>
        <v>6450</v>
      </c>
      <c r="E8" s="480">
        <f>'ACT-RDT-PQ BY AMS'!C12</f>
        <v>151200</v>
      </c>
      <c r="F8" s="470">
        <f>E8/'ACT-RDT-PQ BY AMS'!AA17</f>
        <v>0.26682352941176474</v>
      </c>
      <c r="G8" s="152">
        <f>'ACT-RDT-PQ BY AMS'!L10</f>
        <v>652980</v>
      </c>
      <c r="H8" s="152">
        <f>'ACT-RDT-PQ BY AMS'!L11</f>
        <v>294750</v>
      </c>
      <c r="I8" s="153">
        <f>G8+H8</f>
        <v>947730</v>
      </c>
      <c r="J8" s="154">
        <f>I8/'ACT-RDT-PQ BY AMS'!AA17</f>
        <v>1.672464705882353</v>
      </c>
      <c r="K8" s="172">
        <f>E8+I8</f>
        <v>1098930</v>
      </c>
      <c r="L8" s="173">
        <f>F8+J8</f>
        <v>1.9392882352941176</v>
      </c>
      <c r="M8" s="136"/>
      <c r="N8" s="137"/>
    </row>
    <row r="9" spans="1:14" s="98" customFormat="1" ht="22.5" x14ac:dyDescent="0.2">
      <c r="A9" s="134" t="s">
        <v>56</v>
      </c>
      <c r="B9" s="135" t="s">
        <v>58</v>
      </c>
      <c r="C9" s="150">
        <f>'ACT-RDT-PQ BY AMS'!D10</f>
        <v>58920</v>
      </c>
      <c r="D9" s="462">
        <f>'ACT-RDT-PQ BY AMS'!D11</f>
        <v>87330</v>
      </c>
      <c r="E9" s="480">
        <f>'ACT-RDT-PQ BY AMS'!D12</f>
        <v>146250</v>
      </c>
      <c r="F9" s="470">
        <f>(E9*2)/'ACT-RDT-PQ BY AMS'!AA17</f>
        <v>0.51617647058823535</v>
      </c>
      <c r="G9" s="152">
        <f>'ACT-RDT-PQ BY AMS'!M10</f>
        <v>486000</v>
      </c>
      <c r="H9" s="152">
        <f>'ACT-RDT-PQ BY AMS'!M11</f>
        <v>409740</v>
      </c>
      <c r="I9" s="153">
        <f>G9+H9</f>
        <v>895740</v>
      </c>
      <c r="J9" s="154">
        <f>(I9*2)/'ACT-RDT-PQ BY AMS'!AA17</f>
        <v>3.1614352941176471</v>
      </c>
      <c r="K9" s="172">
        <f t="shared" ref="K9:K23" si="0">E9+I9</f>
        <v>1041990</v>
      </c>
      <c r="L9" s="173">
        <f t="shared" ref="L9:L14" si="1">F9+J9</f>
        <v>3.6776117647058824</v>
      </c>
      <c r="M9" s="138"/>
      <c r="N9" s="139"/>
    </row>
    <row r="10" spans="1:14" s="98" customFormat="1" ht="22.5" x14ac:dyDescent="0.2">
      <c r="A10" s="134" t="s">
        <v>55</v>
      </c>
      <c r="B10" s="135" t="s">
        <v>58</v>
      </c>
      <c r="C10" s="150">
        <f>'ACT-RDT-PQ BY AMS'!E10</f>
        <v>57000</v>
      </c>
      <c r="D10" s="462">
        <f>'ACT-RDT-PQ BY AMS'!E11</f>
        <v>0</v>
      </c>
      <c r="E10" s="480">
        <f>'ACT-RDT-PQ BY AMS'!E12</f>
        <v>57000</v>
      </c>
      <c r="F10" s="470">
        <f>(E10*3)/'ACT-RDT-PQ BY AMS'!AA17</f>
        <v>0.30176470588235293</v>
      </c>
      <c r="G10" s="152">
        <f>'ACT-RDT-PQ BY AMS'!N10</f>
        <v>294960</v>
      </c>
      <c r="H10" s="152">
        <f>'ACT-RDT-PQ BY AMS'!N11</f>
        <v>233880</v>
      </c>
      <c r="I10" s="153">
        <f>G10+H10</f>
        <v>528840</v>
      </c>
      <c r="J10" s="154">
        <f>(I10*3)/'ACT-RDT-PQ BY AMS'!AA17</f>
        <v>2.7997411764705884</v>
      </c>
      <c r="K10" s="172">
        <f t="shared" si="0"/>
        <v>585840</v>
      </c>
      <c r="L10" s="173">
        <f t="shared" si="1"/>
        <v>3.1015058823529413</v>
      </c>
      <c r="M10" s="138"/>
      <c r="N10" s="139"/>
    </row>
    <row r="11" spans="1:14" s="98" customFormat="1" ht="22.5" x14ac:dyDescent="0.2">
      <c r="A11" s="134" t="s">
        <v>54</v>
      </c>
      <c r="B11" s="135" t="s">
        <v>58</v>
      </c>
      <c r="C11" s="150">
        <f>'ACT-RDT-PQ BY AMS'!F10</f>
        <v>23400</v>
      </c>
      <c r="D11" s="462">
        <f>'ACT-RDT-PQ BY AMS'!F11</f>
        <v>16410</v>
      </c>
      <c r="E11" s="480">
        <f>'ACT-RDT-PQ BY AMS'!F12</f>
        <v>39810</v>
      </c>
      <c r="F11" s="470">
        <f>(E11*4)/'ACT-RDT-PQ BY AMS'!AA17</f>
        <v>0.28101176470588235</v>
      </c>
      <c r="G11" s="152">
        <f>'ACT-RDT-PQ BY AMS'!O10</f>
        <v>303510</v>
      </c>
      <c r="H11" s="152">
        <f>'ACT-RDT-PQ BY AMS'!O11</f>
        <v>601410</v>
      </c>
      <c r="I11" s="153">
        <f>G11+H11</f>
        <v>904920</v>
      </c>
      <c r="J11" s="154">
        <f>(I11*4)/'ACT-RDT-PQ BY AMS'!AA17</f>
        <v>6.3876705882352942</v>
      </c>
      <c r="K11" s="172">
        <f>E11+I11</f>
        <v>944730</v>
      </c>
      <c r="L11" s="173">
        <f t="shared" si="1"/>
        <v>6.6686823529411763</v>
      </c>
      <c r="M11" s="138"/>
      <c r="N11" s="139"/>
    </row>
    <row r="12" spans="1:14" s="32" customFormat="1" ht="25.5" x14ac:dyDescent="0.25">
      <c r="A12" s="130" t="s">
        <v>57</v>
      </c>
      <c r="B12" s="129" t="s">
        <v>58</v>
      </c>
      <c r="C12" s="233">
        <f>'ACT-RDT-PQ BY AMS'!G10</f>
        <v>284070</v>
      </c>
      <c r="D12" s="463">
        <f>'ACT-RDT-PQ BY AMS'!G11</f>
        <v>110190</v>
      </c>
      <c r="E12" s="476">
        <f>'ACT-RDT-PQ BY AMS'!G12</f>
        <v>394260</v>
      </c>
      <c r="F12" s="486">
        <f>'ACT-RDT-PQ BY AMS'!C18</f>
        <v>1.3657764705882354</v>
      </c>
      <c r="G12" s="234">
        <f>'ACT-RDT-PQ BY AMS'!P10</f>
        <v>1737450</v>
      </c>
      <c r="H12" s="234">
        <f>'ACT-RDT-PQ BY AMS'!P11</f>
        <v>1539780</v>
      </c>
      <c r="I12" s="155">
        <f>'ACT-RDT-PQ BY AMS'!P12</f>
        <v>3277230</v>
      </c>
      <c r="J12" s="801">
        <f>'ACT-RDT-PQ BY AMS'!L18</f>
        <v>14.021311764705883</v>
      </c>
      <c r="K12" s="174">
        <f t="shared" si="0"/>
        <v>3671490</v>
      </c>
      <c r="L12" s="489">
        <f>F12+J12</f>
        <v>15.387088235294119</v>
      </c>
      <c r="M12" s="144" t="s">
        <v>414</v>
      </c>
      <c r="N12" s="100" t="s">
        <v>423</v>
      </c>
    </row>
    <row r="13" spans="1:14" s="133" customFormat="1" ht="24" x14ac:dyDescent="0.25">
      <c r="A13" s="176" t="s">
        <v>46</v>
      </c>
      <c r="B13" s="177" t="s">
        <v>31</v>
      </c>
      <c r="C13" s="235">
        <f>'ACT-RDT-PQ BY AMS'!H10</f>
        <v>2056100</v>
      </c>
      <c r="D13" s="464">
        <f>'ACT-RDT-PQ BY AMS'!H11</f>
        <v>0</v>
      </c>
      <c r="E13" s="476">
        <f>'ACT-RDT-PQ BY AMS'!H12</f>
        <v>2056100</v>
      </c>
      <c r="F13" s="487">
        <f>'ACT-RDT-PQ BY AMS'!H18</f>
        <v>1.4774371257485028</v>
      </c>
      <c r="G13" s="236">
        <f>'ACT-RDT-PQ BY AMS'!Q10</f>
        <v>9500400</v>
      </c>
      <c r="H13" s="236">
        <f>'ACT-RDT-PQ BY AMS'!Q11</f>
        <v>0</v>
      </c>
      <c r="I13" s="155">
        <f>'ACT-RDT-PQ BY AMS'!Q12</f>
        <v>9500400</v>
      </c>
      <c r="J13" s="801">
        <f>I13/'ACT-RDT-PQ BY AMS'!Z17</f>
        <v>6.8266347305389221</v>
      </c>
      <c r="K13" s="175">
        <f t="shared" si="0"/>
        <v>11556500</v>
      </c>
      <c r="L13" s="489">
        <f>F13+J13</f>
        <v>8.3040718562874254</v>
      </c>
      <c r="M13" s="144" t="s">
        <v>415</v>
      </c>
      <c r="N13" s="100"/>
    </row>
    <row r="14" spans="1:14" s="133" customFormat="1" ht="24" x14ac:dyDescent="0.25">
      <c r="A14" s="131" t="s">
        <v>30</v>
      </c>
      <c r="B14" s="132" t="s">
        <v>52</v>
      </c>
      <c r="C14" s="232">
        <f>'ACT-RDT-PQ BY AMS'!B10</f>
        <v>716625</v>
      </c>
      <c r="D14" s="465">
        <f>'ACT-RDT-PQ BY AMS'!B11</f>
        <v>0</v>
      </c>
      <c r="E14" s="476">
        <f>'ACT-RDT-PQ BY AMS'!B12</f>
        <v>716625</v>
      </c>
      <c r="F14" s="488">
        <f>'ACT-RDT-PQ BY AMS'!B18</f>
        <v>2.1498750000000002</v>
      </c>
      <c r="G14" s="155">
        <f>'ACT-RDT-PQ BY AMS'!K10</f>
        <v>1313150</v>
      </c>
      <c r="H14" s="155">
        <f>'ACT-RDT-PQ BY AMS'!K11</f>
        <v>2000000</v>
      </c>
      <c r="I14" s="155">
        <f>'ACT-RDT-PQ BY AMS'!K12</f>
        <v>3313150</v>
      </c>
      <c r="J14" s="802">
        <f>I14/'ACT-RDT-PQ BY AMS'!T17</f>
        <v>9.9394500000000008</v>
      </c>
      <c r="K14" s="175">
        <f t="shared" si="0"/>
        <v>4029775</v>
      </c>
      <c r="L14" s="489">
        <f t="shared" si="1"/>
        <v>12.089325000000001</v>
      </c>
      <c r="M14" s="144" t="s">
        <v>416</v>
      </c>
      <c r="N14" s="100" t="s">
        <v>417</v>
      </c>
    </row>
    <row r="15" spans="1:14" x14ac:dyDescent="0.2">
      <c r="A15" s="237"/>
      <c r="B15" s="237"/>
      <c r="C15" s="238"/>
      <c r="D15" s="466"/>
      <c r="E15" s="481">
        <v>0</v>
      </c>
      <c r="F15" s="471"/>
      <c r="G15" s="156"/>
      <c r="H15" s="156"/>
      <c r="I15" s="156"/>
      <c r="J15" s="239"/>
      <c r="K15" s="171"/>
      <c r="L15" s="240"/>
      <c r="M15" s="83"/>
      <c r="N15" s="84"/>
    </row>
    <row r="16" spans="1:14" s="33" customFormat="1" x14ac:dyDescent="0.2">
      <c r="A16" s="163" t="s">
        <v>51</v>
      </c>
      <c r="B16" s="90"/>
      <c r="C16" s="91"/>
      <c r="D16" s="467"/>
      <c r="E16" s="482"/>
      <c r="F16" s="472"/>
      <c r="G16" s="91">
        <v>0.57638888888888895</v>
      </c>
      <c r="H16" s="91"/>
      <c r="I16" s="92"/>
      <c r="J16" s="93"/>
      <c r="K16" s="94"/>
      <c r="L16" s="95"/>
      <c r="M16" s="96"/>
      <c r="N16" s="97"/>
    </row>
    <row r="17" spans="1:14" s="88" customFormat="1" ht="24" x14ac:dyDescent="0.25">
      <c r="A17" s="99" t="s">
        <v>87</v>
      </c>
      <c r="B17" s="87" t="s">
        <v>31</v>
      </c>
      <c r="C17" s="164">
        <f>' Other A.M.Drugs BY AMS'!B12</f>
        <v>0</v>
      </c>
      <c r="D17" s="468">
        <f>' Other A.M.Drugs BY AMS'!B11</f>
        <v>0</v>
      </c>
      <c r="E17" s="483">
        <f>D17+C17</f>
        <v>0</v>
      </c>
      <c r="F17" s="473"/>
      <c r="G17" s="157">
        <f>' Other A.M.Drugs BY AMS'!M10</f>
        <v>624400</v>
      </c>
      <c r="H17" s="157">
        <f>' Other A.M.Drugs BY AMS'!M11</f>
        <v>0</v>
      </c>
      <c r="I17" s="157">
        <f t="shared" ref="I17:I23" si="2">G17+H17</f>
        <v>624400</v>
      </c>
      <c r="J17" s="158"/>
      <c r="K17" s="166">
        <f>E17+I17</f>
        <v>624400</v>
      </c>
      <c r="L17" s="167"/>
      <c r="M17" s="140"/>
      <c r="N17" s="89"/>
    </row>
    <row r="18" spans="1:14" s="34" customFormat="1" x14ac:dyDescent="0.2">
      <c r="A18" s="42" t="s">
        <v>47</v>
      </c>
      <c r="B18" s="42" t="s">
        <v>59</v>
      </c>
      <c r="C18" s="165">
        <f>' Other A.M.Drugs BY AMS'!C12</f>
        <v>55854</v>
      </c>
      <c r="D18" s="468">
        <f>' Other A.M.Drugs BY AMS'!B11</f>
        <v>0</v>
      </c>
      <c r="E18" s="484">
        <f>D18+C18</f>
        <v>55854</v>
      </c>
      <c r="F18" s="474"/>
      <c r="G18" s="159">
        <f>' Other A.M.Drugs BY AMS'!N10</f>
        <v>27000</v>
      </c>
      <c r="H18" s="159">
        <f>' Other A.M.Drugs BY AMS'!N11</f>
        <v>0</v>
      </c>
      <c r="I18" s="160">
        <f t="shared" si="2"/>
        <v>27000</v>
      </c>
      <c r="J18" s="161"/>
      <c r="K18" s="168">
        <f>E18+I18</f>
        <v>82854</v>
      </c>
      <c r="L18" s="169"/>
      <c r="M18" s="85"/>
      <c r="N18" s="86"/>
    </row>
    <row r="19" spans="1:14" s="34" customFormat="1" x14ac:dyDescent="0.2">
      <c r="A19" s="42" t="s">
        <v>48</v>
      </c>
      <c r="B19" s="42" t="s">
        <v>59</v>
      </c>
      <c r="C19" s="165">
        <f>' Other A.M.Drugs BY AMS'!D12</f>
        <v>19516</v>
      </c>
      <c r="D19" s="468">
        <f>' Other A.M.Drugs BY AMS'!B11</f>
        <v>0</v>
      </c>
      <c r="E19" s="484">
        <f>D19+C19</f>
        <v>19516</v>
      </c>
      <c r="F19" s="474"/>
      <c r="G19" s="159">
        <f>' Other A.M.Drugs BY AMS'!O10</f>
        <v>16000</v>
      </c>
      <c r="H19" s="159">
        <f>' Other A.M.Drugs BY AMS'!O11</f>
        <v>0</v>
      </c>
      <c r="I19" s="160">
        <f t="shared" si="2"/>
        <v>16000</v>
      </c>
      <c r="J19" s="162"/>
      <c r="K19" s="168">
        <f t="shared" si="0"/>
        <v>35516</v>
      </c>
      <c r="L19" s="169"/>
      <c r="M19" s="85"/>
      <c r="N19" s="86"/>
    </row>
    <row r="20" spans="1:14" s="34" customFormat="1" x14ac:dyDescent="0.2">
      <c r="A20" s="42" t="s">
        <v>86</v>
      </c>
      <c r="B20" s="42" t="s">
        <v>60</v>
      </c>
      <c r="C20" s="165">
        <f>' Other A.M.Drugs BY AMS'!E12</f>
        <v>25418</v>
      </c>
      <c r="D20" s="468">
        <f>' Other A.M.Drugs BY AMS'!B11</f>
        <v>0</v>
      </c>
      <c r="E20" s="484">
        <f>D20+C20</f>
        <v>25418</v>
      </c>
      <c r="F20" s="474"/>
      <c r="G20" s="159">
        <f>' Other A.M.Drugs BY AMS'!P10</f>
        <v>0</v>
      </c>
      <c r="H20" s="159">
        <f>' Other A.M.Drugs BY AMS'!P11</f>
        <v>0</v>
      </c>
      <c r="I20" s="160">
        <f t="shared" si="2"/>
        <v>0</v>
      </c>
      <c r="J20" s="162"/>
      <c r="K20" s="168">
        <f t="shared" si="0"/>
        <v>25418</v>
      </c>
      <c r="L20" s="169"/>
      <c r="M20" s="85"/>
      <c r="N20" s="86"/>
    </row>
    <row r="21" spans="1:14" s="34" customFormat="1" x14ac:dyDescent="0.2">
      <c r="A21" s="42" t="s">
        <v>50</v>
      </c>
      <c r="B21" s="42" t="s">
        <v>60</v>
      </c>
      <c r="C21" s="165">
        <f>' Other A.M.Drugs BY AMS'!F12</f>
        <v>1760</v>
      </c>
      <c r="D21" s="468">
        <f>' Other A.M.Drugs BY AMS'!B11</f>
        <v>0</v>
      </c>
      <c r="E21" s="484">
        <f>C21+D21</f>
        <v>1760</v>
      </c>
      <c r="F21" s="474"/>
      <c r="G21" s="159">
        <f>' Other A.M.Drugs BY AMS'!Q10</f>
        <v>10000</v>
      </c>
      <c r="H21" s="159">
        <f>' Other A.M.Drugs BY AMS'!Q11</f>
        <v>0</v>
      </c>
      <c r="I21" s="160">
        <f t="shared" si="2"/>
        <v>10000</v>
      </c>
      <c r="J21" s="162"/>
      <c r="K21" s="168">
        <f t="shared" si="0"/>
        <v>11760</v>
      </c>
      <c r="L21" s="169"/>
      <c r="M21" s="101"/>
      <c r="N21" s="86"/>
    </row>
    <row r="22" spans="1:14" s="34" customFormat="1" x14ac:dyDescent="0.2">
      <c r="A22" s="42" t="s">
        <v>49</v>
      </c>
      <c r="B22" s="42" t="s">
        <v>31</v>
      </c>
      <c r="C22" s="165">
        <f>' Other A.M.Drugs BY AMS'!G12</f>
        <v>52200</v>
      </c>
      <c r="D22" s="468">
        <f>' Other A.M.Drugs BY AMS'!B11</f>
        <v>0</v>
      </c>
      <c r="E22" s="484">
        <f>D22+C22</f>
        <v>52200</v>
      </c>
      <c r="F22" s="474"/>
      <c r="G22" s="159">
        <f>' Other A.M.Drugs BY AMS'!R10</f>
        <v>500000</v>
      </c>
      <c r="H22" s="159">
        <f>' Other A.M.Drugs BY AMS'!Q11</f>
        <v>0</v>
      </c>
      <c r="I22" s="160">
        <f t="shared" si="2"/>
        <v>500000</v>
      </c>
      <c r="J22" s="162"/>
      <c r="K22" s="168">
        <f>E22+I22</f>
        <v>552200</v>
      </c>
      <c r="L22" s="169"/>
      <c r="M22" s="101"/>
      <c r="N22" s="86"/>
    </row>
    <row r="23" spans="1:14" s="302" customFormat="1" ht="24.75" thickBot="1" x14ac:dyDescent="0.25">
      <c r="A23" s="297" t="s">
        <v>136</v>
      </c>
      <c r="B23" s="35" t="s">
        <v>31</v>
      </c>
      <c r="C23" s="303">
        <f>' Other A.M.Drugs BY AMS'!J12</f>
        <v>2433</v>
      </c>
      <c r="D23" s="468">
        <f>' Other A.M.Drugs BY AMS'!B11</f>
        <v>0</v>
      </c>
      <c r="E23" s="485">
        <f>D23+C23</f>
        <v>2433</v>
      </c>
      <c r="F23" s="475"/>
      <c r="G23" s="298">
        <f>' Other A.M.Drugs BY AMS'!U10</f>
        <v>0</v>
      </c>
      <c r="H23" s="159">
        <f>' Other A.M.Drugs BY AMS'!Q11</f>
        <v>0</v>
      </c>
      <c r="I23" s="160">
        <f t="shared" si="2"/>
        <v>0</v>
      </c>
      <c r="J23" s="299"/>
      <c r="K23" s="358">
        <f t="shared" si="0"/>
        <v>2433</v>
      </c>
      <c r="L23" s="170"/>
      <c r="M23" s="300"/>
      <c r="N23" s="301"/>
    </row>
  </sheetData>
  <mergeCells count="16">
    <mergeCell ref="A2:N2"/>
    <mergeCell ref="A1:N1"/>
    <mergeCell ref="M4:N4"/>
    <mergeCell ref="M5:M6"/>
    <mergeCell ref="N5:N6"/>
    <mergeCell ref="K4:L4"/>
    <mergeCell ref="A4:A6"/>
    <mergeCell ref="K5:K6"/>
    <mergeCell ref="L5:L6"/>
    <mergeCell ref="J5:J6"/>
    <mergeCell ref="C5:E5"/>
    <mergeCell ref="F5:F6"/>
    <mergeCell ref="G5:I5"/>
    <mergeCell ref="B4:B6"/>
    <mergeCell ref="C4:F4"/>
    <mergeCell ref="G4:J4"/>
  </mergeCells>
  <conditionalFormatting sqref="F1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{45CAD6BF-07C4-40D7-862C-F62FD5704446}</x14:id>
        </ext>
      </extLst>
    </cfRule>
  </conditionalFormatting>
  <conditionalFormatting sqref="F12:F1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{EFC1B223-52C3-4EBC-8791-8E5CFF84C2CD}</x14:id>
        </ext>
      </extLst>
    </cfRule>
  </conditionalFormatting>
  <conditionalFormatting sqref="J12:J1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{6EF4069D-A2F6-447F-845D-1482F5C4FB41}</x14:id>
        </ext>
      </extLst>
    </cfRule>
  </conditionalFormatting>
  <conditionalFormatting sqref="L12:L1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{2B562298-7146-4CE7-BBE5-1A5D9391E917}</x14:id>
        </ext>
      </extLst>
    </cfRule>
  </conditionalFormatting>
  <pageMargins left="0.7" right="0.7" top="0.75" bottom="0.75" header="0.3" footer="0.3"/>
  <pageSetup paperSize="9" scale="70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CAD6BF-07C4-40D7-862C-F62FD570444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EFC1B223-52C3-4EBC-8791-8E5CFF84C2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F12:F14</xm:sqref>
        </x14:conditionalFormatting>
        <x14:conditionalFormatting xmlns:xm="http://schemas.microsoft.com/office/excel/2006/main">
          <x14:cfRule type="dataBar" id="{6EF4069D-A2F6-447F-845D-1482F5C4FB4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J12:J14</xm:sqref>
        </x14:conditionalFormatting>
        <x14:conditionalFormatting xmlns:xm="http://schemas.microsoft.com/office/excel/2006/main">
          <x14:cfRule type="dataBar" id="{2B562298-7146-4CE7-BBE5-1A5D9391E91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L12:L14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4"/>
  <sheetViews>
    <sheetView tabSelected="1" view="pageBreakPreview" zoomScale="87" zoomScaleNormal="96" zoomScaleSheetLayoutView="87" workbookViewId="0">
      <selection activeCell="H11" sqref="H11"/>
    </sheetView>
  </sheetViews>
  <sheetFormatPr defaultRowHeight="15" x14ac:dyDescent="0.25"/>
  <cols>
    <col min="1" max="1" width="11.140625" customWidth="1"/>
    <col min="2" max="2" width="14.140625" style="1" customWidth="1"/>
    <col min="3" max="3" width="9.28515625" style="1" customWidth="1"/>
    <col min="4" max="4" width="10.28515625" style="1" customWidth="1"/>
    <col min="5" max="5" width="9" style="1" customWidth="1"/>
    <col min="6" max="6" width="8.140625" style="1" customWidth="1"/>
    <col min="7" max="7" width="9.7109375" style="1" customWidth="1"/>
    <col min="8" max="8" width="12.42578125" style="1" customWidth="1"/>
    <col min="9" max="9" width="8.42578125" bestFit="1" customWidth="1"/>
    <col min="10" max="10" width="12.85546875" customWidth="1"/>
    <col min="11" max="11" width="12.7109375" customWidth="1"/>
    <col min="12" max="12" width="9.5703125" customWidth="1"/>
    <col min="13" max="13" width="10.5703125" bestFit="1" customWidth="1"/>
    <col min="14" max="14" width="9.28515625" customWidth="1"/>
    <col min="15" max="15" width="9.7109375" customWidth="1"/>
    <col min="16" max="16" width="12.7109375" bestFit="1" customWidth="1"/>
    <col min="17" max="17" width="14.28515625" bestFit="1" customWidth="1"/>
    <col min="18" max="18" width="9.42578125" customWidth="1"/>
    <col min="19" max="19" width="17.85546875" customWidth="1"/>
    <col min="20" max="20" width="12.85546875" customWidth="1"/>
    <col min="21" max="21" width="10.7109375" customWidth="1"/>
    <col min="22" max="22" width="10.5703125" customWidth="1"/>
    <col min="23" max="23" width="11.140625" customWidth="1"/>
    <col min="24" max="24" width="10.5703125" customWidth="1"/>
    <col min="25" max="25" width="12.42578125" customWidth="1"/>
    <col min="26" max="26" width="14.42578125" customWidth="1"/>
    <col min="27" max="27" width="13.42578125" customWidth="1"/>
    <col min="29" max="29" width="14.7109375" bestFit="1" customWidth="1"/>
  </cols>
  <sheetData>
    <row r="1" spans="1:33" ht="26.25" customHeight="1" x14ac:dyDescent="0.35">
      <c r="A1" s="854" t="s">
        <v>100</v>
      </c>
      <c r="B1" s="854"/>
      <c r="C1" s="854"/>
      <c r="D1" s="854"/>
      <c r="E1" s="854"/>
      <c r="F1" s="854"/>
      <c r="G1" s="854"/>
      <c r="H1" s="854"/>
      <c r="I1" s="854"/>
      <c r="J1" s="854"/>
      <c r="K1" s="854"/>
      <c r="L1" s="854"/>
      <c r="M1" s="854"/>
      <c r="N1" s="854"/>
      <c r="O1" s="854"/>
      <c r="P1" s="854"/>
      <c r="Q1" s="854"/>
      <c r="S1" s="444"/>
      <c r="T1" s="444"/>
      <c r="U1" s="444"/>
      <c r="V1" s="444"/>
      <c r="W1" s="444"/>
      <c r="X1" s="444"/>
      <c r="Y1" s="444"/>
      <c r="Z1" s="444"/>
      <c r="AA1" s="444"/>
    </row>
    <row r="2" spans="1:33" ht="18.75" x14ac:dyDescent="0.3">
      <c r="A2" s="179"/>
      <c r="B2" s="855"/>
      <c r="C2" s="855"/>
      <c r="D2" s="855"/>
      <c r="E2" s="855"/>
      <c r="F2" s="855"/>
      <c r="G2" s="855"/>
      <c r="H2" s="855"/>
      <c r="I2" s="179"/>
      <c r="J2" s="179"/>
      <c r="K2" s="179"/>
      <c r="L2" s="179"/>
      <c r="M2" s="179"/>
      <c r="N2" s="179"/>
      <c r="O2" s="179"/>
      <c r="P2" s="179"/>
      <c r="Q2" s="855"/>
    </row>
    <row r="3" spans="1:33" s="8" customFormat="1" ht="21" customHeight="1" x14ac:dyDescent="0.25">
      <c r="A3" s="1039" t="s">
        <v>419</v>
      </c>
      <c r="B3" s="1039"/>
      <c r="C3" s="1039"/>
      <c r="D3" s="1039"/>
      <c r="E3" s="1039"/>
      <c r="F3" s="1039"/>
      <c r="G3" s="1039"/>
      <c r="H3" s="1039"/>
      <c r="I3" s="1040"/>
      <c r="J3" s="20" t="s">
        <v>0</v>
      </c>
      <c r="K3" s="1040"/>
      <c r="L3" s="1040"/>
      <c r="M3" s="1040"/>
      <c r="N3" s="1040"/>
      <c r="O3" s="1040"/>
      <c r="P3" s="1040"/>
      <c r="Q3" s="1041"/>
      <c r="S3" s="8" t="s">
        <v>105</v>
      </c>
    </row>
    <row r="4" spans="1:33" ht="30" x14ac:dyDescent="0.25">
      <c r="A4" s="1036" t="s">
        <v>1</v>
      </c>
      <c r="B4" s="1037" t="s">
        <v>2</v>
      </c>
      <c r="C4" s="1037" t="s">
        <v>3</v>
      </c>
      <c r="D4" s="1037" t="s">
        <v>4</v>
      </c>
      <c r="E4" s="1037" t="s">
        <v>5</v>
      </c>
      <c r="F4" s="1037" t="s">
        <v>6</v>
      </c>
      <c r="G4" s="289" t="s">
        <v>7</v>
      </c>
      <c r="H4" s="1038" t="s">
        <v>19</v>
      </c>
      <c r="I4" s="1040"/>
      <c r="J4" s="1042" t="s">
        <v>1</v>
      </c>
      <c r="K4" s="1043" t="s">
        <v>2</v>
      </c>
      <c r="L4" s="1043" t="s">
        <v>3</v>
      </c>
      <c r="M4" s="1043" t="s">
        <v>4</v>
      </c>
      <c r="N4" s="1043" t="s">
        <v>5</v>
      </c>
      <c r="O4" s="1043" t="s">
        <v>6</v>
      </c>
      <c r="P4" s="310" t="s">
        <v>7</v>
      </c>
      <c r="Q4" s="1044" t="s">
        <v>19</v>
      </c>
      <c r="R4" s="2"/>
      <c r="S4" s="10" t="s">
        <v>1</v>
      </c>
      <c r="T4" s="11" t="s">
        <v>2</v>
      </c>
      <c r="U4" s="11" t="s">
        <v>3</v>
      </c>
      <c r="V4" s="11" t="s">
        <v>4</v>
      </c>
      <c r="W4" s="11" t="s">
        <v>5</v>
      </c>
      <c r="X4" s="11" t="s">
        <v>6</v>
      </c>
      <c r="Y4" s="12" t="s">
        <v>7</v>
      </c>
      <c r="Z4" s="12" t="s">
        <v>19</v>
      </c>
      <c r="AA4" s="15" t="s">
        <v>23</v>
      </c>
    </row>
    <row r="5" spans="1:33" s="6" customFormat="1" x14ac:dyDescent="0.25">
      <c r="A5" s="183" t="s">
        <v>8</v>
      </c>
      <c r="B5" s="184">
        <f>77575-48225</f>
        <v>29350</v>
      </c>
      <c r="C5" s="184">
        <v>110670</v>
      </c>
      <c r="D5" s="184">
        <v>26580</v>
      </c>
      <c r="E5" s="184">
        <f>21600-4500</f>
        <v>17100</v>
      </c>
      <c r="F5" s="184">
        <v>16050</v>
      </c>
      <c r="G5" s="290">
        <f>C5+D5+E5+F5</f>
        <v>170400</v>
      </c>
      <c r="H5" s="184">
        <v>311900</v>
      </c>
      <c r="I5" s="1045"/>
      <c r="J5" s="197" t="s">
        <v>8</v>
      </c>
      <c r="K5" s="198">
        <f>'NDoH Outstanding Orders'!E26</f>
        <v>266825</v>
      </c>
      <c r="L5" s="198">
        <f>'NDoH Outstanding Orders'!F26</f>
        <v>150000</v>
      </c>
      <c r="M5" s="198">
        <f>'NDoH Outstanding Orders'!G26</f>
        <v>90000</v>
      </c>
      <c r="N5" s="198">
        <f>'NDoH Outstanding Orders'!H26</f>
        <v>92160</v>
      </c>
      <c r="O5" s="198">
        <f>'NDoH Outstanding Orders'!I26</f>
        <v>92160</v>
      </c>
      <c r="P5" s="193">
        <f t="shared" ref="P5:P12" si="0">L5+M5+N5+O5</f>
        <v>424320</v>
      </c>
      <c r="Q5" s="198">
        <f>'NDoH Outstanding Orders'!K26</f>
        <v>2300000</v>
      </c>
      <c r="S5" s="13" t="s">
        <v>8</v>
      </c>
      <c r="T5" s="14">
        <f>B5+K5</f>
        <v>296175</v>
      </c>
      <c r="U5" s="14">
        <f t="shared" ref="T5:Z12" si="1">C5+L5</f>
        <v>260670</v>
      </c>
      <c r="V5" s="14">
        <f t="shared" si="1"/>
        <v>116580</v>
      </c>
      <c r="W5" s="14">
        <f t="shared" si="1"/>
        <v>109260</v>
      </c>
      <c r="X5" s="14">
        <f t="shared" si="1"/>
        <v>108210</v>
      </c>
      <c r="Y5" s="14">
        <f t="shared" si="1"/>
        <v>594720</v>
      </c>
      <c r="Z5" s="14">
        <f>H5+Q5</f>
        <v>2611900</v>
      </c>
      <c r="AA5" s="16">
        <f>U5+(V5*2)+(W5*3)+(X5*4)</f>
        <v>1254450</v>
      </c>
      <c r="AC5"/>
      <c r="AD5"/>
      <c r="AE5"/>
      <c r="AF5"/>
      <c r="AG5"/>
    </row>
    <row r="6" spans="1:33" s="6" customFormat="1" x14ac:dyDescent="0.25">
      <c r="A6" s="183" t="s">
        <v>9</v>
      </c>
      <c r="B6" s="184">
        <f>7918*25</f>
        <v>197950</v>
      </c>
      <c r="C6" s="184">
        <f>83*30</f>
        <v>2490</v>
      </c>
      <c r="D6" s="184">
        <f>87*30</f>
        <v>2610</v>
      </c>
      <c r="E6" s="184">
        <f>941*30</f>
        <v>28230</v>
      </c>
      <c r="F6" s="184">
        <f>145*30</f>
        <v>4350</v>
      </c>
      <c r="G6" s="290">
        <f>C6+D6+E6+F6</f>
        <v>37680</v>
      </c>
      <c r="H6" s="184">
        <f>5690*100</f>
        <v>569000</v>
      </c>
      <c r="I6" s="1046"/>
      <c r="J6" s="197" t="s">
        <v>9</v>
      </c>
      <c r="K6" s="198">
        <f>'NDoH Outstanding Orders'!E46</f>
        <v>125000</v>
      </c>
      <c r="L6" s="198">
        <f>'NDoH Outstanding Orders'!F46</f>
        <v>82800</v>
      </c>
      <c r="M6" s="198">
        <f>'NDoH Outstanding Orders'!G46</f>
        <v>60000</v>
      </c>
      <c r="N6" s="198">
        <f>'NDoH Outstanding Orders'!H46</f>
        <v>30000</v>
      </c>
      <c r="O6" s="198">
        <f>'NDoH Outstanding Orders'!I46</f>
        <v>52800</v>
      </c>
      <c r="P6" s="193">
        <f t="shared" si="0"/>
        <v>225600</v>
      </c>
      <c r="Q6" s="198">
        <f>'NDoH Outstanding Orders'!K46</f>
        <v>1200000</v>
      </c>
      <c r="S6" s="13" t="s">
        <v>9</v>
      </c>
      <c r="T6" s="14">
        <f t="shared" si="1"/>
        <v>322950</v>
      </c>
      <c r="U6" s="14">
        <f>C6+L6</f>
        <v>85290</v>
      </c>
      <c r="V6" s="14">
        <f t="shared" si="1"/>
        <v>62610</v>
      </c>
      <c r="W6" s="14">
        <f t="shared" si="1"/>
        <v>58230</v>
      </c>
      <c r="X6" s="14">
        <f>F6+O6</f>
        <v>57150</v>
      </c>
      <c r="Y6" s="14">
        <f t="shared" si="1"/>
        <v>263280</v>
      </c>
      <c r="Z6" s="14">
        <f t="shared" si="1"/>
        <v>1769000</v>
      </c>
      <c r="AA6" s="16">
        <f t="shared" ref="AA6:AA12" si="2">U6+(V6*2)+(W6*3)+(X6*4)</f>
        <v>613800</v>
      </c>
      <c r="AC6"/>
      <c r="AD6"/>
      <c r="AE6"/>
      <c r="AF6"/>
      <c r="AG6"/>
    </row>
    <row r="7" spans="1:33" s="6" customFormat="1" x14ac:dyDescent="0.25">
      <c r="A7" s="183" t="s">
        <v>11</v>
      </c>
      <c r="B7" s="184">
        <f>1986*25</f>
        <v>49650</v>
      </c>
      <c r="C7" s="184">
        <f>183*30</f>
        <v>5490</v>
      </c>
      <c r="D7" s="184">
        <f>83*30</f>
        <v>2490</v>
      </c>
      <c r="E7" s="184">
        <f>133*30</f>
        <v>3990</v>
      </c>
      <c r="F7" s="184">
        <v>0</v>
      </c>
      <c r="G7" s="290">
        <f>C7+D7+E7+F7</f>
        <v>11970</v>
      </c>
      <c r="H7" s="184">
        <v>0</v>
      </c>
      <c r="I7" s="1046"/>
      <c r="J7" s="197" t="s">
        <v>11</v>
      </c>
      <c r="K7" s="198">
        <f>'NDoH Outstanding Orders'!E62</f>
        <v>412500</v>
      </c>
      <c r="L7" s="198">
        <f>'NDoH Outstanding Orders'!F62</f>
        <v>60000</v>
      </c>
      <c r="M7" s="198">
        <f>'NDoH Outstanding Orders'!G62</f>
        <v>60000</v>
      </c>
      <c r="N7" s="198">
        <f>'NDoH Outstanding Orders'!H62</f>
        <v>30000</v>
      </c>
      <c r="O7" s="198">
        <f>'NDoH Outstanding Orders'!I62</f>
        <v>30030</v>
      </c>
      <c r="P7" s="193">
        <f t="shared" si="0"/>
        <v>180030</v>
      </c>
      <c r="Q7" s="198">
        <f>'NDoH Outstanding Orders'!K62</f>
        <v>1200400</v>
      </c>
      <c r="S7" s="13" t="s">
        <v>11</v>
      </c>
      <c r="T7" s="14">
        <f>B7+K7</f>
        <v>462150</v>
      </c>
      <c r="U7" s="14">
        <f>C7+L7</f>
        <v>65490</v>
      </c>
      <c r="V7" s="14">
        <f>D7+M7</f>
        <v>62490</v>
      </c>
      <c r="W7" s="14">
        <f>E7+N7</f>
        <v>33990</v>
      </c>
      <c r="X7" s="14">
        <f>F7+O7</f>
        <v>30030</v>
      </c>
      <c r="Y7" s="14">
        <f>G7+P7</f>
        <v>192000</v>
      </c>
      <c r="Z7" s="14">
        <f>H7+Q7</f>
        <v>1200400</v>
      </c>
      <c r="AA7" s="16">
        <f>U7+(V7*2)+(W7*3)+(X7*4)</f>
        <v>412560</v>
      </c>
      <c r="AC7"/>
      <c r="AD7"/>
      <c r="AE7"/>
      <c r="AF7"/>
      <c r="AG7"/>
    </row>
    <row r="8" spans="1:33" s="6" customFormat="1" x14ac:dyDescent="0.25">
      <c r="A8" s="183" t="s">
        <v>10</v>
      </c>
      <c r="B8" s="184">
        <f>7340*25</f>
        <v>183500</v>
      </c>
      <c r="C8" s="184">
        <f>860*30</f>
        <v>25800</v>
      </c>
      <c r="D8" s="184">
        <f>908*30</f>
        <v>27240</v>
      </c>
      <c r="E8" s="184">
        <v>3000</v>
      </c>
      <c r="F8" s="184">
        <v>3000</v>
      </c>
      <c r="G8" s="290">
        <f>C8+D8+E8+F8</f>
        <v>59040</v>
      </c>
      <c r="H8" s="184">
        <f>(5000+500+2465+1500)*100</f>
        <v>946500</v>
      </c>
      <c r="I8" s="1046"/>
      <c r="J8" s="197" t="s">
        <v>10</v>
      </c>
      <c r="K8" s="198">
        <f>'NDoH Outstanding Orders'!E80</f>
        <v>225000</v>
      </c>
      <c r="L8" s="198">
        <f>'NDoH Outstanding Orders'!F80</f>
        <v>255000</v>
      </c>
      <c r="M8" s="198">
        <f>'NDoH Outstanding Orders'!G80</f>
        <v>186000</v>
      </c>
      <c r="N8" s="198">
        <f>'NDoH Outstanding Orders'!H80</f>
        <v>60000</v>
      </c>
      <c r="O8" s="198">
        <f>'NDoH Outstanding Orders'!I80</f>
        <v>60000</v>
      </c>
      <c r="P8" s="193">
        <f t="shared" si="0"/>
        <v>561000</v>
      </c>
      <c r="Q8" s="198">
        <f>'NDoH Outstanding Orders'!K80</f>
        <v>2200000</v>
      </c>
      <c r="S8" s="13" t="s">
        <v>10</v>
      </c>
      <c r="T8" s="14">
        <f t="shared" si="1"/>
        <v>408500</v>
      </c>
      <c r="U8" s="14">
        <f t="shared" si="1"/>
        <v>280800</v>
      </c>
      <c r="V8" s="14">
        <f t="shared" si="1"/>
        <v>213240</v>
      </c>
      <c r="W8" s="14">
        <f t="shared" si="1"/>
        <v>63000</v>
      </c>
      <c r="X8" s="14">
        <f t="shared" si="1"/>
        <v>63000</v>
      </c>
      <c r="Y8" s="14">
        <f t="shared" si="1"/>
        <v>620040</v>
      </c>
      <c r="Z8" s="14">
        <v>80000</v>
      </c>
      <c r="AA8" s="16">
        <f t="shared" si="2"/>
        <v>1148280</v>
      </c>
      <c r="AC8"/>
      <c r="AD8"/>
      <c r="AE8"/>
      <c r="AF8"/>
      <c r="AG8"/>
    </row>
    <row r="9" spans="1:33" s="6" customFormat="1" x14ac:dyDescent="0.25">
      <c r="A9" s="183" t="s">
        <v>12</v>
      </c>
      <c r="B9" s="184">
        <f>(1600+1600+1042+1600+155+1600+1600+1050)*25</f>
        <v>256175</v>
      </c>
      <c r="C9" s="184">
        <f>10*30</f>
        <v>300</v>
      </c>
      <c r="D9" s="184">
        <v>0</v>
      </c>
      <c r="E9" s="184">
        <f>156*30</f>
        <v>4680</v>
      </c>
      <c r="F9" s="185">
        <v>0</v>
      </c>
      <c r="G9" s="290">
        <f>C9+D9+E9+F9</f>
        <v>4980</v>
      </c>
      <c r="H9" s="184">
        <f>2287*100</f>
        <v>228700</v>
      </c>
      <c r="I9" s="1046"/>
      <c r="J9" s="197" t="s">
        <v>12</v>
      </c>
      <c r="K9" s="198">
        <f>'NDoH Outstanding Orders'!E101</f>
        <v>283825</v>
      </c>
      <c r="L9" s="198">
        <f>'NDoH Outstanding Orders'!F101</f>
        <v>105180</v>
      </c>
      <c r="M9" s="198">
        <f>'NDoH Outstanding Orders'!G101</f>
        <v>90000</v>
      </c>
      <c r="N9" s="198">
        <f>'NDoH Outstanding Orders'!H101</f>
        <v>82800</v>
      </c>
      <c r="O9" s="198">
        <f>'NDoH Outstanding Orders'!I101</f>
        <v>68520</v>
      </c>
      <c r="P9" s="193">
        <f t="shared" si="0"/>
        <v>346500</v>
      </c>
      <c r="Q9" s="198">
        <f>'NDoH Outstanding Orders'!K101</f>
        <v>2600000</v>
      </c>
      <c r="S9" s="13" t="s">
        <v>12</v>
      </c>
      <c r="T9" s="14">
        <f>B9+K9</f>
        <v>540000</v>
      </c>
      <c r="U9" s="14">
        <f t="shared" si="1"/>
        <v>105480</v>
      </c>
      <c r="V9" s="14">
        <f t="shared" si="1"/>
        <v>90000</v>
      </c>
      <c r="W9" s="14">
        <f t="shared" si="1"/>
        <v>87480</v>
      </c>
      <c r="X9" s="14">
        <f t="shared" si="1"/>
        <v>68520</v>
      </c>
      <c r="Y9" s="14">
        <f t="shared" si="1"/>
        <v>351480</v>
      </c>
      <c r="Z9" s="14">
        <f t="shared" si="1"/>
        <v>2828700</v>
      </c>
      <c r="AA9" s="16">
        <f t="shared" si="2"/>
        <v>822000</v>
      </c>
    </row>
    <row r="10" spans="1:33" s="122" customFormat="1" x14ac:dyDescent="0.25">
      <c r="A10" s="147" t="s">
        <v>13</v>
      </c>
      <c r="B10" s="148">
        <f t="shared" ref="B10:H10" si="3">SUM(B5:B9)</f>
        <v>716625</v>
      </c>
      <c r="C10" s="148">
        <f t="shared" si="3"/>
        <v>144750</v>
      </c>
      <c r="D10" s="148">
        <f t="shared" si="3"/>
        <v>58920</v>
      </c>
      <c r="E10" s="148">
        <f t="shared" si="3"/>
        <v>57000</v>
      </c>
      <c r="F10" s="148">
        <f t="shared" si="3"/>
        <v>23400</v>
      </c>
      <c r="G10" s="291">
        <f>SUM(G5:G9)</f>
        <v>284070</v>
      </c>
      <c r="H10" s="148">
        <f t="shared" si="3"/>
        <v>2056100</v>
      </c>
      <c r="I10" s="1046"/>
      <c r="J10" s="147" t="s">
        <v>13</v>
      </c>
      <c r="K10" s="148">
        <f>SUM(K5:K9)</f>
        <v>1313150</v>
      </c>
      <c r="L10" s="148">
        <f>SUM(L5:L9)</f>
        <v>652980</v>
      </c>
      <c r="M10" s="148">
        <f>SUM(M5:M9)</f>
        <v>486000</v>
      </c>
      <c r="N10" s="148">
        <f>SUM(N5:N9)</f>
        <v>294960</v>
      </c>
      <c r="O10" s="148">
        <f>SUM(O5:O9)</f>
        <v>303510</v>
      </c>
      <c r="P10" s="311">
        <f t="shared" si="0"/>
        <v>1737450</v>
      </c>
      <c r="Q10" s="148">
        <f>SUM(Q5:Q9)</f>
        <v>9500400</v>
      </c>
      <c r="S10" s="147" t="s">
        <v>13</v>
      </c>
      <c r="T10" s="148">
        <f t="shared" si="1"/>
        <v>2029775</v>
      </c>
      <c r="U10" s="148">
        <f t="shared" si="1"/>
        <v>797730</v>
      </c>
      <c r="V10" s="148">
        <f t="shared" si="1"/>
        <v>544920</v>
      </c>
      <c r="W10" s="148">
        <f t="shared" si="1"/>
        <v>351960</v>
      </c>
      <c r="X10" s="148">
        <f t="shared" si="1"/>
        <v>326910</v>
      </c>
      <c r="Y10" s="148">
        <f t="shared" si="1"/>
        <v>2021520</v>
      </c>
      <c r="Z10" s="148">
        <f t="shared" si="1"/>
        <v>11556500</v>
      </c>
      <c r="AA10" s="148">
        <f t="shared" si="2"/>
        <v>4251090</v>
      </c>
      <c r="AC10" s="6"/>
    </row>
    <row r="11" spans="1:33" s="122" customFormat="1" x14ac:dyDescent="0.25">
      <c r="A11" s="147" t="s">
        <v>176</v>
      </c>
      <c r="B11" s="180">
        <v>0</v>
      </c>
      <c r="C11" s="181">
        <f>10140-3690</f>
        <v>6450</v>
      </c>
      <c r="D11" s="181">
        <f>92400-5070</f>
        <v>87330</v>
      </c>
      <c r="E11" s="181">
        <v>0</v>
      </c>
      <c r="F11" s="181">
        <f>27510-11100</f>
        <v>16410</v>
      </c>
      <c r="G11" s="291">
        <f>C11+D11+E11+F11</f>
        <v>110190</v>
      </c>
      <c r="H11" s="148">
        <v>0</v>
      </c>
      <c r="I11" s="1047"/>
      <c r="J11" s="147" t="s">
        <v>176</v>
      </c>
      <c r="K11" s="148">
        <f>'RAM-GF_PROC.-2021 REQ.ACT-RDT'!D34</f>
        <v>2000000</v>
      </c>
      <c r="L11" s="148">
        <f>'RAM-GF_PROC.-2021 REQ.ACT-RDT'!E33</f>
        <v>294750</v>
      </c>
      <c r="M11" s="148">
        <f>'RAM-GF_PROC.-2021 REQ.ACT-RDT'!F33</f>
        <v>409740</v>
      </c>
      <c r="N11" s="148">
        <f>'RAM-GF_PROC.-2021 REQ.ACT-RDT'!G33</f>
        <v>233880</v>
      </c>
      <c r="O11" s="148">
        <f>'RAM-GF_PROC.-2021 REQ.ACT-RDT'!H33</f>
        <v>601410</v>
      </c>
      <c r="P11" s="311">
        <f t="shared" si="0"/>
        <v>1539780</v>
      </c>
      <c r="Q11" s="148">
        <f>'RAM-GF_PROC.-2021 REQ.ACT-RDT'!J21</f>
        <v>0</v>
      </c>
      <c r="S11" s="147" t="s">
        <v>14</v>
      </c>
      <c r="T11" s="148">
        <f>B11+K11</f>
        <v>2000000</v>
      </c>
      <c r="U11" s="148">
        <f t="shared" si="1"/>
        <v>301200</v>
      </c>
      <c r="V11" s="148">
        <f t="shared" si="1"/>
        <v>497070</v>
      </c>
      <c r="W11" s="148">
        <f t="shared" si="1"/>
        <v>233880</v>
      </c>
      <c r="X11" s="148">
        <f t="shared" si="1"/>
        <v>617820</v>
      </c>
      <c r="Y11" s="148">
        <f t="shared" si="1"/>
        <v>1649970</v>
      </c>
      <c r="Z11" s="148">
        <f>H11+Q11</f>
        <v>0</v>
      </c>
      <c r="AA11" s="148">
        <f t="shared" si="2"/>
        <v>4468260</v>
      </c>
      <c r="AC11" s="6"/>
    </row>
    <row r="12" spans="1:33" s="17" customFormat="1" x14ac:dyDescent="0.25">
      <c r="A12" s="186" t="s">
        <v>15</v>
      </c>
      <c r="B12" s="187">
        <f t="shared" ref="B12:G12" si="4">B11+B10</f>
        <v>716625</v>
      </c>
      <c r="C12" s="187">
        <f t="shared" si="4"/>
        <v>151200</v>
      </c>
      <c r="D12" s="187">
        <f t="shared" si="4"/>
        <v>146250</v>
      </c>
      <c r="E12" s="187">
        <f t="shared" si="4"/>
        <v>57000</v>
      </c>
      <c r="F12" s="187">
        <f t="shared" si="4"/>
        <v>39810</v>
      </c>
      <c r="G12" s="187">
        <f>G11+G10</f>
        <v>394260</v>
      </c>
      <c r="H12" s="187">
        <f>(H11+H10)</f>
        <v>2056100</v>
      </c>
      <c r="I12" s="1046"/>
      <c r="J12" s="192" t="s">
        <v>15</v>
      </c>
      <c r="K12" s="193">
        <f>K11+K10</f>
        <v>3313150</v>
      </c>
      <c r="L12" s="193">
        <f>L11+L10</f>
        <v>947730</v>
      </c>
      <c r="M12" s="193">
        <f>M11+M10</f>
        <v>895740</v>
      </c>
      <c r="N12" s="193">
        <f>N11+N10</f>
        <v>528840</v>
      </c>
      <c r="O12" s="193">
        <f>O11+O10</f>
        <v>904920</v>
      </c>
      <c r="P12" s="193">
        <f t="shared" si="0"/>
        <v>3277230</v>
      </c>
      <c r="Q12" s="193">
        <f>Q11+Q10</f>
        <v>9500400</v>
      </c>
      <c r="S12" s="146" t="s">
        <v>15</v>
      </c>
      <c r="T12" s="111">
        <f>B12+K12</f>
        <v>4029775</v>
      </c>
      <c r="U12" s="111">
        <f t="shared" si="1"/>
        <v>1098930</v>
      </c>
      <c r="V12" s="111">
        <f t="shared" si="1"/>
        <v>1041990</v>
      </c>
      <c r="W12" s="111">
        <f t="shared" si="1"/>
        <v>585840</v>
      </c>
      <c r="X12" s="111">
        <f t="shared" si="1"/>
        <v>944730</v>
      </c>
      <c r="Y12" s="111">
        <f t="shared" si="1"/>
        <v>3671490</v>
      </c>
      <c r="Z12" s="111">
        <f t="shared" si="1"/>
        <v>11556500</v>
      </c>
      <c r="AA12" s="112">
        <f t="shared" si="2"/>
        <v>8719350</v>
      </c>
      <c r="AC12" s="6"/>
    </row>
    <row r="13" spans="1:33" s="17" customFormat="1" ht="18.75" x14ac:dyDescent="0.3">
      <c r="A13" s="857"/>
      <c r="B13" s="857"/>
      <c r="C13" s="857"/>
      <c r="D13" s="857"/>
      <c r="E13" s="857"/>
      <c r="F13" s="857"/>
      <c r="G13" s="857"/>
      <c r="H13" s="857"/>
      <c r="I13" s="857"/>
      <c r="J13" s="858"/>
      <c r="K13" s="858"/>
      <c r="L13" s="858"/>
      <c r="M13" s="858"/>
      <c r="N13" s="858"/>
      <c r="O13" s="858"/>
      <c r="P13" s="858"/>
      <c r="Q13" s="858"/>
      <c r="R13" s="108"/>
      <c r="S13" s="108"/>
      <c r="T13" s="339">
        <f>T12/T17</f>
        <v>12.089325000000001</v>
      </c>
      <c r="U13" s="339"/>
      <c r="V13" s="339"/>
      <c r="W13" s="339"/>
      <c r="X13" s="339"/>
      <c r="Y13" s="339"/>
      <c r="Z13" s="339">
        <f>Z12/Z17</f>
        <v>8.3040718562874254</v>
      </c>
      <c r="AA13" s="339">
        <f>AA12/AA17</f>
        <v>15.387088235294119</v>
      </c>
      <c r="AC13" s="6"/>
    </row>
    <row r="14" spans="1:33" s="17" customFormat="1" ht="18.75" x14ac:dyDescent="0.3">
      <c r="A14" s="857"/>
      <c r="B14" s="857"/>
      <c r="C14" s="857"/>
      <c r="D14" s="857"/>
      <c r="E14" s="857"/>
      <c r="F14" s="857"/>
      <c r="G14" s="857"/>
      <c r="H14" s="857"/>
      <c r="I14" s="857"/>
      <c r="J14" s="859"/>
      <c r="K14" s="860"/>
      <c r="L14" s="860"/>
      <c r="M14" s="860"/>
      <c r="N14" s="860"/>
      <c r="O14" s="860"/>
      <c r="P14" s="860"/>
      <c r="Q14" s="860"/>
      <c r="R14" s="745"/>
      <c r="S14" s="746"/>
      <c r="T14" s="747"/>
      <c r="U14" s="747"/>
      <c r="V14" s="747"/>
      <c r="W14" s="747"/>
      <c r="X14" s="747"/>
      <c r="Y14" s="747"/>
      <c r="Z14" s="747"/>
      <c r="AA14" s="747"/>
      <c r="AC14" s="6"/>
    </row>
    <row r="15" spans="1:33" s="21" customFormat="1" ht="18.75" x14ac:dyDescent="0.3">
      <c r="A15" s="861"/>
      <c r="B15" s="862"/>
      <c r="C15" s="862" t="s">
        <v>32</v>
      </c>
      <c r="D15" s="862"/>
      <c r="E15" s="862"/>
      <c r="F15" s="862"/>
      <c r="G15" s="862"/>
      <c r="H15" s="862"/>
      <c r="I15" s="856"/>
      <c r="J15" s="862"/>
      <c r="K15" s="862"/>
      <c r="L15" s="863" t="s">
        <v>61</v>
      </c>
      <c r="M15" s="863"/>
      <c r="N15" s="863"/>
      <c r="O15" s="864"/>
      <c r="P15" s="864"/>
      <c r="Q15" s="862"/>
      <c r="S15" s="118"/>
      <c r="T15" s="119"/>
      <c r="U15" s="120"/>
      <c r="V15" s="120"/>
      <c r="W15" s="120"/>
      <c r="X15" s="120"/>
      <c r="Y15" s="120"/>
      <c r="Z15" s="121"/>
      <c r="AA15" s="121"/>
      <c r="AC15" s="6"/>
    </row>
    <row r="16" spans="1:33" s="21" customFormat="1" ht="27" x14ac:dyDescent="0.3">
      <c r="A16" s="865"/>
      <c r="B16" s="866" t="s">
        <v>30</v>
      </c>
      <c r="C16" s="925" t="s">
        <v>99</v>
      </c>
      <c r="D16" s="926"/>
      <c r="E16" s="926"/>
      <c r="F16" s="926"/>
      <c r="G16" s="927"/>
      <c r="H16" s="866" t="s">
        <v>33</v>
      </c>
      <c r="I16" s="856"/>
      <c r="J16" s="867"/>
      <c r="K16" s="868" t="s">
        <v>30</v>
      </c>
      <c r="L16" s="916" t="s">
        <v>99</v>
      </c>
      <c r="M16" s="917"/>
      <c r="N16" s="917"/>
      <c r="O16" s="917"/>
      <c r="P16" s="918"/>
      <c r="Q16" s="868" t="s">
        <v>33</v>
      </c>
      <c r="S16" s="113" t="s">
        <v>20</v>
      </c>
      <c r="T16" s="114">
        <v>4000000</v>
      </c>
      <c r="U16" s="115"/>
      <c r="V16" s="115"/>
      <c r="W16" s="115"/>
      <c r="X16" s="115"/>
      <c r="Y16" s="115"/>
      <c r="Z16" s="116">
        <v>16700000</v>
      </c>
      <c r="AA16" s="117">
        <v>6800000</v>
      </c>
      <c r="AC16" s="6" t="s">
        <v>172</v>
      </c>
    </row>
    <row r="17" spans="1:34" s="21" customFormat="1" ht="45" x14ac:dyDescent="0.25">
      <c r="A17" s="869" t="s">
        <v>88</v>
      </c>
      <c r="B17" s="445">
        <f>B12</f>
        <v>716625</v>
      </c>
      <c r="C17" s="928">
        <f>(C12)+(D12*2)+(E12*3)+(F12*4)</f>
        <v>773940</v>
      </c>
      <c r="D17" s="929"/>
      <c r="E17" s="929"/>
      <c r="F17" s="929"/>
      <c r="G17" s="930"/>
      <c r="H17" s="446">
        <f>H12</f>
        <v>2056100</v>
      </c>
      <c r="I17" s="856"/>
      <c r="J17" s="449" t="s">
        <v>88</v>
      </c>
      <c r="K17" s="447">
        <f>K12</f>
        <v>3313150</v>
      </c>
      <c r="L17" s="919">
        <f>(L12)+(M12*2)+(N12*3)+(O12*4)</f>
        <v>7945410</v>
      </c>
      <c r="M17" s="920"/>
      <c r="N17" s="920"/>
      <c r="O17" s="920"/>
      <c r="P17" s="921"/>
      <c r="Q17" s="449">
        <f>Q12</f>
        <v>9500400</v>
      </c>
      <c r="S17" s="22" t="s">
        <v>21</v>
      </c>
      <c r="T17" s="25">
        <f>T16/12</f>
        <v>333333.33333333331</v>
      </c>
      <c r="U17" s="26"/>
      <c r="V17" s="26"/>
      <c r="W17" s="26"/>
      <c r="X17" s="26"/>
      <c r="Y17" s="26"/>
      <c r="Z17" s="25">
        <f>Z16/12</f>
        <v>1391666.6666666667</v>
      </c>
      <c r="AA17" s="27">
        <f>AA16/12</f>
        <v>566666.66666666663</v>
      </c>
      <c r="AC17" s="663"/>
    </row>
    <row r="18" spans="1:34" s="24" customFormat="1" ht="37.5" customHeight="1" x14ac:dyDescent="0.25">
      <c r="A18" s="869" t="s">
        <v>89</v>
      </c>
      <c r="B18" s="687">
        <f>B17/T17</f>
        <v>2.1498750000000002</v>
      </c>
      <c r="C18" s="931">
        <f>C17/AA17</f>
        <v>1.3657764705882354</v>
      </c>
      <c r="D18" s="932"/>
      <c r="E18" s="932"/>
      <c r="F18" s="932"/>
      <c r="G18" s="933"/>
      <c r="H18" s="687">
        <f>H17/Z17</f>
        <v>1.4774371257485028</v>
      </c>
      <c r="I18" s="870"/>
      <c r="J18" s="871" t="s">
        <v>89</v>
      </c>
      <c r="K18" s="688">
        <f>K17/T17</f>
        <v>9.9394500000000008</v>
      </c>
      <c r="L18" s="922">
        <f>L17/AA17</f>
        <v>14.021311764705883</v>
      </c>
      <c r="M18" s="923"/>
      <c r="N18" s="923"/>
      <c r="O18" s="923"/>
      <c r="P18" s="924"/>
      <c r="Q18" s="688">
        <f>Q17/Z17</f>
        <v>6.8266347305389221</v>
      </c>
      <c r="S18" s="29" t="s">
        <v>22</v>
      </c>
      <c r="T18" s="23">
        <f>T17*10</f>
        <v>3333333.333333333</v>
      </c>
      <c r="U18" s="28"/>
      <c r="V18" s="28"/>
      <c r="W18" s="28"/>
      <c r="X18" s="28"/>
      <c r="Y18" s="28"/>
      <c r="Z18" s="23">
        <f>Z17*10</f>
        <v>13916666.666666668</v>
      </c>
      <c r="AA18" s="27">
        <f>AA17*10</f>
        <v>5666666.666666666</v>
      </c>
    </row>
    <row r="19" spans="1:34" ht="18.75" x14ac:dyDescent="0.3">
      <c r="A19" s="872" t="s">
        <v>102</v>
      </c>
      <c r="B19" s="689">
        <f>B10/T17</f>
        <v>2.1498750000000002</v>
      </c>
      <c r="C19" s="914">
        <f>(C10+(D10*2)+(E10*3)+(F10*4))/AA17</f>
        <v>0.93033529411764715</v>
      </c>
      <c r="D19" s="914"/>
      <c r="E19" s="914"/>
      <c r="F19" s="914"/>
      <c r="G19" s="914"/>
      <c r="H19" s="689">
        <f>H10/Z17</f>
        <v>1.4774371257485028</v>
      </c>
      <c r="I19" s="873"/>
      <c r="J19" s="689" t="s">
        <v>102</v>
      </c>
      <c r="K19" s="680">
        <f>K10/T17</f>
        <v>3.9394500000000003</v>
      </c>
      <c r="L19" s="913">
        <f>(L10+(M10*2)+(N10*3)+(O10*4))/AA17</f>
        <v>6.5715882352941177</v>
      </c>
      <c r="M19" s="913"/>
      <c r="N19" s="913"/>
      <c r="O19" s="913"/>
      <c r="P19" s="913"/>
      <c r="Q19" s="680">
        <f>Q10/Z17</f>
        <v>6.8266347305389221</v>
      </c>
    </row>
    <row r="20" spans="1:34" ht="18.75" x14ac:dyDescent="0.3">
      <c r="A20" s="874" t="s">
        <v>103</v>
      </c>
      <c r="B20" s="689">
        <f>B11/T17</f>
        <v>0</v>
      </c>
      <c r="C20" s="915">
        <f>(C11+(D11*2)+(E11*3)+(F11*4))/AA17</f>
        <v>0.43544117647058828</v>
      </c>
      <c r="D20" s="915"/>
      <c r="E20" s="915"/>
      <c r="F20" s="915"/>
      <c r="G20" s="915"/>
      <c r="H20" s="689">
        <f>H11/Z17</f>
        <v>0</v>
      </c>
      <c r="I20" s="873"/>
      <c r="J20" s="689" t="s">
        <v>103</v>
      </c>
      <c r="K20" s="680">
        <f>K11/T17</f>
        <v>6</v>
      </c>
      <c r="L20" s="913">
        <f>(L11+(M11*2)+(N11*3)+(O11*4))/AA17</f>
        <v>7.4497235294117656</v>
      </c>
      <c r="M20" s="913"/>
      <c r="N20" s="913"/>
      <c r="O20" s="913"/>
      <c r="P20" s="913"/>
      <c r="Q20" s="800">
        <v>0</v>
      </c>
      <c r="Z20" s="18"/>
      <c r="AC20" s="18"/>
    </row>
    <row r="21" spans="1:34" ht="18.75" x14ac:dyDescent="0.3">
      <c r="A21" s="179"/>
      <c r="B21" s="875"/>
      <c r="C21" s="179"/>
      <c r="D21" s="855"/>
      <c r="E21" s="855"/>
      <c r="F21" s="855"/>
      <c r="G21" s="855"/>
      <c r="H21" s="876"/>
      <c r="I21" s="179"/>
      <c r="J21" s="179"/>
      <c r="K21" s="876"/>
      <c r="L21" s="938"/>
      <c r="M21" s="938"/>
      <c r="N21" s="938"/>
      <c r="O21" s="938"/>
      <c r="P21" s="938"/>
      <c r="Q21" s="876"/>
      <c r="Z21" s="853"/>
      <c r="AC21" s="664"/>
    </row>
    <row r="22" spans="1:34" ht="15.75" x14ac:dyDescent="0.25">
      <c r="A22" s="3" t="s">
        <v>16</v>
      </c>
      <c r="C22" s="1">
        <f>C12/$G12*100</f>
        <v>38.350327195251865</v>
      </c>
      <c r="D22" s="1">
        <f>D12/$G12*100</f>
        <v>37.094810531121595</v>
      </c>
      <c r="E22" s="1">
        <f>E12/$G12*100</f>
        <v>14.457464617257648</v>
      </c>
      <c r="F22" s="1">
        <f>F12/$G12*100</f>
        <v>10.097397656368894</v>
      </c>
      <c r="H22" s="652"/>
      <c r="W22" s="495"/>
    </row>
    <row r="23" spans="1:34" x14ac:dyDescent="0.25">
      <c r="A23" s="3" t="s">
        <v>17</v>
      </c>
      <c r="C23" s="4">
        <v>14.637357814271599</v>
      </c>
      <c r="D23" s="5">
        <v>26.487692476500495</v>
      </c>
      <c r="E23" s="5">
        <v>16.729453933652756</v>
      </c>
      <c r="F23" s="5">
        <v>42.145495775575142</v>
      </c>
      <c r="H23" s="294"/>
      <c r="J23" s="653"/>
      <c r="K23" s="653"/>
      <c r="L23" s="653"/>
      <c r="M23" s="653"/>
      <c r="N23" s="653"/>
      <c r="O23" s="653"/>
      <c r="P23" s="653"/>
      <c r="Q23" s="653"/>
    </row>
    <row r="24" spans="1:34" ht="15" customHeight="1" x14ac:dyDescent="0.25">
      <c r="B24"/>
      <c r="C24"/>
      <c r="D24"/>
      <c r="E24"/>
      <c r="F24"/>
      <c r="AH24" s="1"/>
    </row>
    <row r="25" spans="1:34" ht="15.75" customHeight="1" x14ac:dyDescent="0.25">
      <c r="B25" s="46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AH25" s="1"/>
    </row>
    <row r="26" spans="1:34" ht="19.5" customHeight="1" x14ac:dyDescent="0.35">
      <c r="A26" s="942" t="s">
        <v>98</v>
      </c>
      <c r="B26" s="943"/>
      <c r="C26" s="943"/>
      <c r="D26" s="943"/>
      <c r="E26" s="943"/>
      <c r="F26" s="943"/>
      <c r="G26" s="943"/>
      <c r="H26" s="943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H26" s="1"/>
    </row>
    <row r="27" spans="1:34" s="8" customFormat="1" ht="21" customHeight="1" x14ac:dyDescent="0.3">
      <c r="A27" s="912" t="s">
        <v>393</v>
      </c>
      <c r="B27" s="912"/>
      <c r="C27" s="912"/>
      <c r="D27" s="912"/>
      <c r="E27" s="912"/>
      <c r="F27" s="912"/>
      <c r="G27" s="912"/>
      <c r="H27" s="912"/>
      <c r="J27" s="455" t="s">
        <v>0</v>
      </c>
      <c r="Q27" s="7"/>
      <c r="S27" s="8" t="s">
        <v>105</v>
      </c>
    </row>
    <row r="28" spans="1:34" ht="30" x14ac:dyDescent="0.25">
      <c r="A28" s="1036" t="s">
        <v>1</v>
      </c>
      <c r="B28" s="1037" t="s">
        <v>2</v>
      </c>
      <c r="C28" s="1037" t="s">
        <v>3</v>
      </c>
      <c r="D28" s="1037" t="s">
        <v>4</v>
      </c>
      <c r="E28" s="1037" t="s">
        <v>5</v>
      </c>
      <c r="F28" s="1037" t="s">
        <v>6</v>
      </c>
      <c r="G28" s="289" t="s">
        <v>7</v>
      </c>
      <c r="H28" s="1038" t="s">
        <v>19</v>
      </c>
      <c r="I28" s="2"/>
      <c r="J28" s="194" t="s">
        <v>1</v>
      </c>
      <c r="K28" s="195" t="s">
        <v>2</v>
      </c>
      <c r="L28" s="195" t="s">
        <v>3</v>
      </c>
      <c r="M28" s="195" t="s">
        <v>4</v>
      </c>
      <c r="N28" s="195" t="s">
        <v>5</v>
      </c>
      <c r="O28" s="195" t="s">
        <v>6</v>
      </c>
      <c r="P28" s="310" t="s">
        <v>7</v>
      </c>
      <c r="Q28" s="196" t="s">
        <v>19</v>
      </c>
      <c r="R28" s="2"/>
      <c r="S28" s="10" t="s">
        <v>1</v>
      </c>
      <c r="T28" s="11" t="s">
        <v>2</v>
      </c>
      <c r="U28" s="11" t="s">
        <v>3</v>
      </c>
      <c r="V28" s="11" t="s">
        <v>4</v>
      </c>
      <c r="W28" s="11" t="s">
        <v>5</v>
      </c>
      <c r="X28" s="11" t="s">
        <v>6</v>
      </c>
      <c r="Y28" s="12" t="s">
        <v>7</v>
      </c>
      <c r="Z28" s="12" t="s">
        <v>19</v>
      </c>
      <c r="AA28" s="15" t="s">
        <v>23</v>
      </c>
    </row>
    <row r="29" spans="1:34" s="6" customFormat="1" ht="15" customHeight="1" x14ac:dyDescent="0.25">
      <c r="A29" s="183" t="s">
        <v>8</v>
      </c>
      <c r="B29" s="184">
        <v>77575</v>
      </c>
      <c r="C29" s="184">
        <v>110670</v>
      </c>
      <c r="D29" s="184">
        <v>26580</v>
      </c>
      <c r="E29" s="184">
        <v>21600</v>
      </c>
      <c r="F29" s="184">
        <v>16050</v>
      </c>
      <c r="G29" s="290">
        <f>C29+D29+E29+F29</f>
        <v>174900</v>
      </c>
      <c r="H29" s="184">
        <v>311900</v>
      </c>
      <c r="J29" s="197" t="s">
        <v>8</v>
      </c>
      <c r="K29" s="198">
        <v>266825</v>
      </c>
      <c r="L29" s="198">
        <v>150000</v>
      </c>
      <c r="M29" s="198">
        <v>90000</v>
      </c>
      <c r="N29" s="198">
        <v>92160</v>
      </c>
      <c r="O29" s="198">
        <v>92160</v>
      </c>
      <c r="P29" s="193">
        <f t="shared" ref="P29:P36" si="5">L29+M29+N29+O29</f>
        <v>424320</v>
      </c>
      <c r="Q29" s="198">
        <v>2900000</v>
      </c>
      <c r="S29" s="13" t="s">
        <v>8</v>
      </c>
      <c r="T29" s="14">
        <f>B29+K29</f>
        <v>344400</v>
      </c>
      <c r="U29" s="14">
        <f t="shared" ref="U29:U35" si="6">C29+L29</f>
        <v>260670</v>
      </c>
      <c r="V29" s="14">
        <f t="shared" ref="V29:V35" si="7">D29+M29</f>
        <v>116580</v>
      </c>
      <c r="W29" s="14">
        <f t="shared" ref="W29:W35" si="8">E29+N29</f>
        <v>113760</v>
      </c>
      <c r="X29" s="14">
        <f t="shared" ref="X29:X35" si="9">F29+O29</f>
        <v>108210</v>
      </c>
      <c r="Y29" s="14">
        <f t="shared" ref="Y29:Y35" si="10">G29+P29</f>
        <v>599220</v>
      </c>
      <c r="Z29" s="14">
        <f>H29+Q29</f>
        <v>3211900</v>
      </c>
      <c r="AA29" s="16">
        <f t="shared" ref="AA29:AA36" si="11">U29+(V29*2)+(W29*3)+(X29*4)</f>
        <v>1267950</v>
      </c>
    </row>
    <row r="30" spans="1:34" s="6" customFormat="1" ht="15" customHeight="1" x14ac:dyDescent="0.25">
      <c r="A30" s="183" t="s">
        <v>9</v>
      </c>
      <c r="B30" s="184">
        <f>7918*25</f>
        <v>197950</v>
      </c>
      <c r="C30" s="184">
        <f>83*30</f>
        <v>2490</v>
      </c>
      <c r="D30" s="184">
        <f>87*30</f>
        <v>2610</v>
      </c>
      <c r="E30" s="184">
        <f>941*30</f>
        <v>28230</v>
      </c>
      <c r="F30" s="184">
        <f>145*30</f>
        <v>4350</v>
      </c>
      <c r="G30" s="290">
        <f>C30+D30+E30+F30</f>
        <v>37680</v>
      </c>
      <c r="H30" s="184">
        <f>5690*100</f>
        <v>569000</v>
      </c>
      <c r="J30" s="197" t="s">
        <v>9</v>
      </c>
      <c r="K30" s="198">
        <v>125000</v>
      </c>
      <c r="L30" s="198">
        <v>82800</v>
      </c>
      <c r="M30" s="198">
        <v>60000</v>
      </c>
      <c r="N30" s="198">
        <v>30000</v>
      </c>
      <c r="O30" s="198">
        <v>52800</v>
      </c>
      <c r="P30" s="193">
        <f t="shared" si="5"/>
        <v>225600</v>
      </c>
      <c r="Q30" s="198">
        <v>1200000</v>
      </c>
      <c r="S30" s="13" t="s">
        <v>9</v>
      </c>
      <c r="T30" s="14">
        <f t="shared" ref="T30:T35" si="12">B30+K30</f>
        <v>322950</v>
      </c>
      <c r="U30" s="14">
        <f>C30+L30</f>
        <v>85290</v>
      </c>
      <c r="V30" s="14">
        <f t="shared" si="7"/>
        <v>62610</v>
      </c>
      <c r="W30" s="14">
        <f t="shared" si="8"/>
        <v>58230</v>
      </c>
      <c r="X30" s="14">
        <f>F30+O30</f>
        <v>57150</v>
      </c>
      <c r="Y30" s="14">
        <f t="shared" si="10"/>
        <v>263280</v>
      </c>
      <c r="Z30" s="14">
        <f t="shared" ref="Z30:Z35" si="13">H30+Q30</f>
        <v>1769000</v>
      </c>
      <c r="AA30" s="16">
        <f t="shared" si="11"/>
        <v>613800</v>
      </c>
    </row>
    <row r="31" spans="1:34" s="6" customFormat="1" ht="15" customHeight="1" x14ac:dyDescent="0.25">
      <c r="A31" s="183" t="s">
        <v>11</v>
      </c>
      <c r="B31" s="184">
        <f>1986*25</f>
        <v>49650</v>
      </c>
      <c r="C31" s="184">
        <f>183*30</f>
        <v>5490</v>
      </c>
      <c r="D31" s="184">
        <f>83*30</f>
        <v>2490</v>
      </c>
      <c r="E31" s="184">
        <f>133*30</f>
        <v>3990</v>
      </c>
      <c r="F31" s="184">
        <v>0</v>
      </c>
      <c r="G31" s="290">
        <f>C31+D31+E31+F31</f>
        <v>11970</v>
      </c>
      <c r="H31" s="184">
        <v>0</v>
      </c>
      <c r="J31" s="197" t="s">
        <v>11</v>
      </c>
      <c r="K31" s="198">
        <v>412500</v>
      </c>
      <c r="L31" s="198">
        <v>60000</v>
      </c>
      <c r="M31" s="198">
        <v>60000</v>
      </c>
      <c r="N31" s="198">
        <v>30000</v>
      </c>
      <c r="O31" s="198">
        <v>30030</v>
      </c>
      <c r="P31" s="193">
        <f t="shared" si="5"/>
        <v>180030</v>
      </c>
      <c r="Q31" s="198">
        <v>1200400</v>
      </c>
      <c r="S31" s="13" t="s">
        <v>11</v>
      </c>
      <c r="T31" s="14">
        <f>B31+K31</f>
        <v>462150</v>
      </c>
      <c r="U31" s="14">
        <f>C31+L31</f>
        <v>65490</v>
      </c>
      <c r="V31" s="14">
        <f>D31+M31</f>
        <v>62490</v>
      </c>
      <c r="W31" s="14">
        <f>E31+N31</f>
        <v>33990</v>
      </c>
      <c r="X31" s="14">
        <f>F31+O31</f>
        <v>30030</v>
      </c>
      <c r="Y31" s="14">
        <f>G31+P31</f>
        <v>192000</v>
      </c>
      <c r="Z31" s="14">
        <f>H31+Q31</f>
        <v>1200400</v>
      </c>
      <c r="AA31" s="16">
        <f t="shared" si="11"/>
        <v>412560</v>
      </c>
    </row>
    <row r="32" spans="1:34" s="6" customFormat="1" ht="15" customHeight="1" x14ac:dyDescent="0.25">
      <c r="A32" s="183" t="s">
        <v>10</v>
      </c>
      <c r="B32" s="184">
        <f>7340*25</f>
        <v>183500</v>
      </c>
      <c r="C32" s="184">
        <f>860*30</f>
        <v>25800</v>
      </c>
      <c r="D32" s="184">
        <f>908*30</f>
        <v>27240</v>
      </c>
      <c r="E32" s="184">
        <v>3000</v>
      </c>
      <c r="F32" s="184">
        <v>3000</v>
      </c>
      <c r="G32" s="290">
        <f>C32+D32+E32+F32</f>
        <v>59040</v>
      </c>
      <c r="H32" s="184">
        <f>(5000+500+2465+1500)*100</f>
        <v>946500</v>
      </c>
      <c r="J32" s="197" t="s">
        <v>10</v>
      </c>
      <c r="K32" s="198">
        <v>225000</v>
      </c>
      <c r="L32" s="198">
        <v>255000</v>
      </c>
      <c r="M32" s="198">
        <v>186000</v>
      </c>
      <c r="N32" s="198">
        <v>82800</v>
      </c>
      <c r="O32" s="198">
        <v>82800</v>
      </c>
      <c r="P32" s="193">
        <f t="shared" si="5"/>
        <v>606600</v>
      </c>
      <c r="Q32" s="198">
        <v>2200000</v>
      </c>
      <c r="S32" s="13" t="s">
        <v>10</v>
      </c>
      <c r="T32" s="14">
        <f t="shared" ref="T32:T35" si="14">B32+K32</f>
        <v>408500</v>
      </c>
      <c r="U32" s="14">
        <f t="shared" ref="U32:U35" si="15">C32+L32</f>
        <v>280800</v>
      </c>
      <c r="V32" s="14">
        <f t="shared" ref="V32:V35" si="16">D32+M32</f>
        <v>213240</v>
      </c>
      <c r="W32" s="14">
        <f t="shared" ref="W32:W35" si="17">E32+N32</f>
        <v>85800</v>
      </c>
      <c r="X32" s="14">
        <f t="shared" ref="X32:X35" si="18">F32+O32</f>
        <v>85800</v>
      </c>
      <c r="Y32" s="14">
        <f t="shared" ref="Y32:Y35" si="19">G32+P32</f>
        <v>665640</v>
      </c>
      <c r="Z32" s="14">
        <v>80000</v>
      </c>
      <c r="AA32" s="16">
        <f t="shared" si="11"/>
        <v>1307880</v>
      </c>
    </row>
    <row r="33" spans="1:29" s="6" customFormat="1" ht="15" customHeight="1" x14ac:dyDescent="0.25">
      <c r="A33" s="183" t="s">
        <v>12</v>
      </c>
      <c r="B33" s="184">
        <f>(1600+1600+1042+1600+155+1600+1600+1050)*25</f>
        <v>256175</v>
      </c>
      <c r="C33" s="184">
        <f>10*30</f>
        <v>300</v>
      </c>
      <c r="D33" s="184">
        <v>0</v>
      </c>
      <c r="E33" s="184">
        <f>156*30</f>
        <v>4680</v>
      </c>
      <c r="F33" s="185">
        <v>0</v>
      </c>
      <c r="G33" s="290">
        <f>C33+D33+E33+F33</f>
        <v>4980</v>
      </c>
      <c r="H33" s="184">
        <f>2287*100</f>
        <v>228700</v>
      </c>
      <c r="J33" s="197" t="s">
        <v>12</v>
      </c>
      <c r="K33" s="198">
        <v>283825</v>
      </c>
      <c r="L33" s="198">
        <v>105180</v>
      </c>
      <c r="M33" s="198">
        <v>90000</v>
      </c>
      <c r="N33" s="198">
        <v>82800</v>
      </c>
      <c r="O33" s="198">
        <v>68520</v>
      </c>
      <c r="P33" s="193">
        <f t="shared" si="5"/>
        <v>346500</v>
      </c>
      <c r="Q33" s="198">
        <v>2600000</v>
      </c>
      <c r="S33" s="13" t="s">
        <v>12</v>
      </c>
      <c r="T33" s="14">
        <f>B33+K33</f>
        <v>540000</v>
      </c>
      <c r="U33" s="14">
        <f t="shared" si="15"/>
        <v>105480</v>
      </c>
      <c r="V33" s="14">
        <f t="shared" si="16"/>
        <v>90000</v>
      </c>
      <c r="W33" s="14">
        <f t="shared" si="17"/>
        <v>87480</v>
      </c>
      <c r="X33" s="14">
        <f t="shared" si="18"/>
        <v>68520</v>
      </c>
      <c r="Y33" s="14">
        <f t="shared" si="19"/>
        <v>351480</v>
      </c>
      <c r="Z33" s="14">
        <f t="shared" ref="Z33:Z35" si="20">H33+Q33</f>
        <v>2828700</v>
      </c>
      <c r="AA33" s="16">
        <f t="shared" si="11"/>
        <v>822000</v>
      </c>
    </row>
    <row r="34" spans="1:29" s="122" customFormat="1" ht="15" customHeight="1" x14ac:dyDescent="0.25">
      <c r="A34" s="147" t="s">
        <v>13</v>
      </c>
      <c r="B34" s="148">
        <f t="shared" ref="B34:H34" si="21">SUM(B29:B33)</f>
        <v>764850</v>
      </c>
      <c r="C34" s="148">
        <f t="shared" si="21"/>
        <v>144750</v>
      </c>
      <c r="D34" s="148">
        <f t="shared" si="21"/>
        <v>58920</v>
      </c>
      <c r="E34" s="148">
        <f t="shared" si="21"/>
        <v>61500</v>
      </c>
      <c r="F34" s="148">
        <f t="shared" si="21"/>
        <v>23400</v>
      </c>
      <c r="G34" s="291">
        <f>SUM(G29:G33)</f>
        <v>288570</v>
      </c>
      <c r="H34" s="148">
        <f t="shared" ref="H34" si="22">SUM(H29:H33)</f>
        <v>2056100</v>
      </c>
      <c r="J34" s="147" t="s">
        <v>13</v>
      </c>
      <c r="K34" s="148">
        <f>SUM(K29:K33)</f>
        <v>1313150</v>
      </c>
      <c r="L34" s="148">
        <f>SUM(L29:L33)</f>
        <v>652980</v>
      </c>
      <c r="M34" s="148">
        <f>SUM(M29:M33)</f>
        <v>486000</v>
      </c>
      <c r="N34" s="148">
        <f>SUM(N29:N33)</f>
        <v>317760</v>
      </c>
      <c r="O34" s="148">
        <f>SUM(O29:O33)</f>
        <v>326310</v>
      </c>
      <c r="P34" s="311">
        <f t="shared" si="5"/>
        <v>1783050</v>
      </c>
      <c r="Q34" s="148">
        <f>SUM(Q29:Q33)</f>
        <v>10100400</v>
      </c>
      <c r="S34" s="147" t="s">
        <v>13</v>
      </c>
      <c r="T34" s="148">
        <f t="shared" ref="T34:T35" si="23">B34+K34</f>
        <v>2078000</v>
      </c>
      <c r="U34" s="148">
        <f t="shared" si="15"/>
        <v>797730</v>
      </c>
      <c r="V34" s="148">
        <f t="shared" si="16"/>
        <v>544920</v>
      </c>
      <c r="W34" s="148">
        <f t="shared" si="17"/>
        <v>379260</v>
      </c>
      <c r="X34" s="148">
        <f t="shared" si="18"/>
        <v>349710</v>
      </c>
      <c r="Y34" s="148">
        <f t="shared" si="19"/>
        <v>2071620</v>
      </c>
      <c r="Z34" s="148">
        <f t="shared" si="20"/>
        <v>12156500</v>
      </c>
      <c r="AA34" s="148">
        <f t="shared" si="11"/>
        <v>4424190</v>
      </c>
    </row>
    <row r="35" spans="1:29" s="122" customFormat="1" x14ac:dyDescent="0.25">
      <c r="A35" s="147" t="s">
        <v>176</v>
      </c>
      <c r="B35" s="180">
        <v>0</v>
      </c>
      <c r="C35" s="181">
        <v>10140</v>
      </c>
      <c r="D35" s="181">
        <v>92400</v>
      </c>
      <c r="E35" s="181">
        <v>0</v>
      </c>
      <c r="F35" s="181">
        <v>27510</v>
      </c>
      <c r="G35" s="291">
        <f>C35+D35+E35+F35</f>
        <v>130050</v>
      </c>
      <c r="H35" s="148">
        <v>0</v>
      </c>
      <c r="J35" s="147" t="s">
        <v>176</v>
      </c>
      <c r="K35" s="148">
        <v>2000000</v>
      </c>
      <c r="L35" s="148">
        <v>294750</v>
      </c>
      <c r="M35" s="148">
        <v>409740</v>
      </c>
      <c r="N35" s="148">
        <v>233880</v>
      </c>
      <c r="O35" s="148">
        <v>601410</v>
      </c>
      <c r="P35" s="311">
        <f t="shared" si="5"/>
        <v>1539780</v>
      </c>
      <c r="Q35" s="148">
        <v>0</v>
      </c>
      <c r="S35" s="147" t="s">
        <v>14</v>
      </c>
      <c r="T35" s="148">
        <f>B35+K35</f>
        <v>2000000</v>
      </c>
      <c r="U35" s="148">
        <f t="shared" si="15"/>
        <v>304890</v>
      </c>
      <c r="V35" s="148">
        <f t="shared" si="16"/>
        <v>502140</v>
      </c>
      <c r="W35" s="148">
        <f t="shared" si="17"/>
        <v>233880</v>
      </c>
      <c r="X35" s="148">
        <f t="shared" si="18"/>
        <v>628920</v>
      </c>
      <c r="Y35" s="148">
        <f t="shared" si="19"/>
        <v>1669830</v>
      </c>
      <c r="Z35" s="148">
        <f>H35+Q35</f>
        <v>0</v>
      </c>
      <c r="AA35" s="148">
        <f t="shared" si="11"/>
        <v>4526490</v>
      </c>
    </row>
    <row r="36" spans="1:29" s="17" customFormat="1" x14ac:dyDescent="0.25">
      <c r="A36" s="186" t="s">
        <v>15</v>
      </c>
      <c r="B36" s="187">
        <f t="shared" ref="B36:G36" si="24">B35+B34</f>
        <v>764850</v>
      </c>
      <c r="C36" s="187">
        <f t="shared" si="24"/>
        <v>154890</v>
      </c>
      <c r="D36" s="187">
        <f t="shared" si="24"/>
        <v>151320</v>
      </c>
      <c r="E36" s="187">
        <f t="shared" si="24"/>
        <v>61500</v>
      </c>
      <c r="F36" s="187">
        <f t="shared" si="24"/>
        <v>50910</v>
      </c>
      <c r="G36" s="187">
        <f t="shared" si="24"/>
        <v>418620</v>
      </c>
      <c r="H36" s="187">
        <f>(H35+H34)</f>
        <v>2056100</v>
      </c>
      <c r="J36" s="192" t="s">
        <v>15</v>
      </c>
      <c r="K36" s="193">
        <f>K35+K34</f>
        <v>3313150</v>
      </c>
      <c r="L36" s="193">
        <f>L35+L34</f>
        <v>947730</v>
      </c>
      <c r="M36" s="193">
        <f>M35+M34</f>
        <v>895740</v>
      </c>
      <c r="N36" s="193">
        <f>N35+N34</f>
        <v>551640</v>
      </c>
      <c r="O36" s="193">
        <f>O35+O34</f>
        <v>927720</v>
      </c>
      <c r="P36" s="193">
        <f t="shared" si="5"/>
        <v>3322830</v>
      </c>
      <c r="Q36" s="193">
        <f>Q35+Q34</f>
        <v>10100400</v>
      </c>
      <c r="S36" s="146" t="s">
        <v>15</v>
      </c>
      <c r="T36" s="111">
        <f t="shared" ref="T34:Z36" si="25">B36+K36</f>
        <v>4078000</v>
      </c>
      <c r="U36" s="111">
        <f t="shared" si="25"/>
        <v>1102620</v>
      </c>
      <c r="V36" s="111">
        <f t="shared" si="25"/>
        <v>1047060</v>
      </c>
      <c r="W36" s="111">
        <f t="shared" si="25"/>
        <v>613140</v>
      </c>
      <c r="X36" s="111">
        <f t="shared" si="25"/>
        <v>978630</v>
      </c>
      <c r="Y36" s="111">
        <f t="shared" si="25"/>
        <v>3741450</v>
      </c>
      <c r="Z36" s="111">
        <f t="shared" si="25"/>
        <v>12156500</v>
      </c>
      <c r="AA36" s="112">
        <f t="shared" si="11"/>
        <v>8950680</v>
      </c>
    </row>
    <row r="37" spans="1:29" s="17" customFormat="1" x14ac:dyDescent="0.25">
      <c r="A37" s="107"/>
      <c r="B37" s="107"/>
      <c r="C37" s="107"/>
      <c r="D37" s="107"/>
      <c r="E37" s="107"/>
      <c r="F37" s="107"/>
      <c r="G37" s="107"/>
      <c r="H37" s="107"/>
      <c r="J37" s="108"/>
      <c r="K37" s="107"/>
      <c r="L37" s="107"/>
      <c r="M37" s="107"/>
      <c r="N37" s="107"/>
      <c r="O37" s="107"/>
      <c r="P37" s="107"/>
      <c r="Q37" s="107"/>
      <c r="S37" s="108"/>
      <c r="T37" s="339">
        <f>T36/T40</f>
        <v>12.234</v>
      </c>
      <c r="U37" s="339"/>
      <c r="V37" s="339"/>
      <c r="W37" s="339"/>
      <c r="X37" s="339"/>
      <c r="Y37" s="339"/>
      <c r="Z37" s="339">
        <f>Z36/Z40</f>
        <v>8.7352095808383226</v>
      </c>
      <c r="AA37" s="339">
        <f>AA36/AA40</f>
        <v>15.795317647058825</v>
      </c>
    </row>
    <row r="38" spans="1:29" s="21" customFormat="1" ht="12.75" customHeight="1" x14ac:dyDescent="0.25">
      <c r="B38" s="109"/>
      <c r="C38" s="456" t="s">
        <v>32</v>
      </c>
      <c r="D38" s="456"/>
      <c r="E38" s="456"/>
      <c r="F38" s="109"/>
      <c r="G38" s="109"/>
      <c r="H38" s="109"/>
      <c r="I38" s="17"/>
      <c r="J38" s="109"/>
      <c r="K38" s="109"/>
      <c r="L38" s="457" t="s">
        <v>61</v>
      </c>
      <c r="M38" s="457"/>
      <c r="N38" s="457"/>
      <c r="O38" s="110"/>
      <c r="P38" s="110"/>
      <c r="Q38" s="109"/>
      <c r="S38" s="118"/>
      <c r="T38" s="119"/>
      <c r="U38" s="120"/>
      <c r="V38" s="120"/>
      <c r="W38" s="120"/>
      <c r="X38" s="120"/>
      <c r="Y38" s="120"/>
      <c r="Z38" s="121"/>
      <c r="AA38" s="121"/>
    </row>
    <row r="39" spans="1:29" s="21" customFormat="1" ht="26.25" x14ac:dyDescent="0.25">
      <c r="A39" s="188"/>
      <c r="B39" s="189" t="s">
        <v>30</v>
      </c>
      <c r="C39" s="944" t="s">
        <v>99</v>
      </c>
      <c r="D39" s="945"/>
      <c r="E39" s="945"/>
      <c r="F39" s="945"/>
      <c r="G39" s="946"/>
      <c r="H39" s="189" t="s">
        <v>33</v>
      </c>
      <c r="I39" s="17"/>
      <c r="J39" s="453"/>
      <c r="K39" s="191" t="s">
        <v>30</v>
      </c>
      <c r="L39" s="939" t="s">
        <v>99</v>
      </c>
      <c r="M39" s="940"/>
      <c r="N39" s="940"/>
      <c r="O39" s="940"/>
      <c r="P39" s="941"/>
      <c r="Q39" s="191" t="s">
        <v>33</v>
      </c>
      <c r="S39" s="113" t="s">
        <v>20</v>
      </c>
      <c r="T39" s="114">
        <v>4000000</v>
      </c>
      <c r="U39" s="115"/>
      <c r="V39" s="115"/>
      <c r="W39" s="115"/>
      <c r="X39" s="115"/>
      <c r="Y39" s="115"/>
      <c r="Z39" s="116">
        <v>16700000</v>
      </c>
      <c r="AA39" s="117">
        <v>6800000</v>
      </c>
    </row>
    <row r="40" spans="1:29" s="21" customFormat="1" ht="45" x14ac:dyDescent="0.25">
      <c r="A40" s="450" t="s">
        <v>88</v>
      </c>
      <c r="B40" s="445">
        <f>B36</f>
        <v>764850</v>
      </c>
      <c r="C40" s="928">
        <f>(C36)+(D36*2)+(E36*3)+(F36*4)</f>
        <v>845670</v>
      </c>
      <c r="D40" s="929"/>
      <c r="E40" s="929"/>
      <c r="F40" s="929"/>
      <c r="G40" s="930"/>
      <c r="H40" s="446">
        <f>H36</f>
        <v>2056100</v>
      </c>
      <c r="I40" s="24"/>
      <c r="J40" s="454" t="s">
        <v>88</v>
      </c>
      <c r="K40" s="447">
        <f>K36</f>
        <v>3313150</v>
      </c>
      <c r="L40" s="919">
        <f>(L36)+(M36*2)+(N36*3)+(O36*4)</f>
        <v>8105010</v>
      </c>
      <c r="M40" s="920"/>
      <c r="N40" s="920"/>
      <c r="O40" s="920"/>
      <c r="P40" s="921"/>
      <c r="Q40" s="448">
        <f>Q36</f>
        <v>10100400</v>
      </c>
      <c r="S40" s="22" t="s">
        <v>21</v>
      </c>
      <c r="T40" s="25">
        <f>T39/12</f>
        <v>333333.33333333331</v>
      </c>
      <c r="U40" s="26"/>
      <c r="V40" s="26"/>
      <c r="W40" s="26"/>
      <c r="X40" s="26"/>
      <c r="Y40" s="26"/>
      <c r="Z40" s="25">
        <f>Z39/12</f>
        <v>1391666.6666666667</v>
      </c>
      <c r="AA40" s="27">
        <f>AA39/12</f>
        <v>566666.66666666663</v>
      </c>
      <c r="AC40" s="808">
        <f>Z40*3</f>
        <v>4175000</v>
      </c>
    </row>
    <row r="41" spans="1:29" s="24" customFormat="1" ht="37.5" customHeight="1" x14ac:dyDescent="0.25">
      <c r="A41" s="450" t="s">
        <v>89</v>
      </c>
      <c r="B41" s="687">
        <f>B40/T40</f>
        <v>2.2945500000000001</v>
      </c>
      <c r="C41" s="931">
        <f>C40/AA40</f>
        <v>1.4923588235294118</v>
      </c>
      <c r="D41" s="932"/>
      <c r="E41" s="932"/>
      <c r="F41" s="932"/>
      <c r="G41" s="933"/>
      <c r="H41" s="687">
        <f>H40/Z40</f>
        <v>1.4774371257485028</v>
      </c>
      <c r="I41" s="682"/>
      <c r="J41" s="683" t="s">
        <v>89</v>
      </c>
      <c r="K41" s="684">
        <f>K40/T40</f>
        <v>9.9394500000000008</v>
      </c>
      <c r="L41" s="935">
        <f>L40/AA40</f>
        <v>14.302958823529412</v>
      </c>
      <c r="M41" s="936"/>
      <c r="N41" s="936"/>
      <c r="O41" s="936"/>
      <c r="P41" s="937"/>
      <c r="Q41" s="684">
        <f>Q40/Z40</f>
        <v>7.2577724550898202</v>
      </c>
      <c r="S41" s="29" t="s">
        <v>22</v>
      </c>
      <c r="T41" s="23">
        <f>T40*10</f>
        <v>3333333.333333333</v>
      </c>
      <c r="U41" s="28"/>
      <c r="V41" s="28"/>
      <c r="W41" s="28"/>
      <c r="X41" s="28"/>
      <c r="Y41" s="28"/>
      <c r="Z41" s="23">
        <f>Z40*10</f>
        <v>13916666.666666668</v>
      </c>
      <c r="AA41" s="27">
        <f>AA40*10</f>
        <v>5666666.666666666</v>
      </c>
      <c r="AC41" s="24">
        <f>AA40*3</f>
        <v>1700000</v>
      </c>
    </row>
    <row r="42" spans="1:29" ht="18.75" x14ac:dyDescent="0.3">
      <c r="A42" s="451" t="s">
        <v>102</v>
      </c>
      <c r="B42" s="689">
        <f>B34/T40</f>
        <v>2.2945500000000001</v>
      </c>
      <c r="C42" s="914">
        <f>(C34+(D34*2)+(E34*3)+(F34*4))/AA40</f>
        <v>0.95415882352941184</v>
      </c>
      <c r="D42" s="914"/>
      <c r="E42" s="914"/>
      <c r="F42" s="914"/>
      <c r="G42" s="914"/>
      <c r="H42" s="689">
        <f>H34/Z40</f>
        <v>1.4774371257485028</v>
      </c>
      <c r="I42" s="686"/>
      <c r="J42" s="685" t="s">
        <v>102</v>
      </c>
      <c r="K42" s="680">
        <f>K34/T40</f>
        <v>3.9394500000000003</v>
      </c>
      <c r="L42" s="934">
        <f>(L34+(M34*2)+(N34*3)+(O34*4))/AA40</f>
        <v>6.8532352941176473</v>
      </c>
      <c r="M42" s="934"/>
      <c r="N42" s="934"/>
      <c r="O42" s="934"/>
      <c r="P42" s="934"/>
      <c r="Q42" s="680">
        <f>Q34/Z40</f>
        <v>7.2577724550898202</v>
      </c>
    </row>
    <row r="43" spans="1:29" ht="18.75" x14ac:dyDescent="0.3">
      <c r="A43" s="452" t="s">
        <v>103</v>
      </c>
      <c r="B43" s="689">
        <f>B35/T40</f>
        <v>0</v>
      </c>
      <c r="C43" s="915">
        <f>(C35+(D35*2)+(E35*3)+(F35*4))/AA40</f>
        <v>0.53820000000000001</v>
      </c>
      <c r="D43" s="915"/>
      <c r="E43" s="915"/>
      <c r="F43" s="915"/>
      <c r="G43" s="915"/>
      <c r="H43" s="689">
        <f>H35/Z40</f>
        <v>0</v>
      </c>
      <c r="I43" s="686"/>
      <c r="J43" s="685" t="s">
        <v>103</v>
      </c>
      <c r="K43" s="680">
        <f>K35/T40</f>
        <v>6</v>
      </c>
      <c r="L43" s="913">
        <f>(L35+(M35*2)+(N35*3)+(O35*4))/AA40</f>
        <v>7.4497235294117656</v>
      </c>
      <c r="M43" s="913"/>
      <c r="N43" s="913"/>
      <c r="O43" s="913"/>
      <c r="P43" s="913"/>
      <c r="Q43" s="680">
        <f>Q35/Z40</f>
        <v>0</v>
      </c>
    </row>
    <row r="44" spans="1:29" x14ac:dyDescent="0.25">
      <c r="B44" s="294"/>
      <c r="C44"/>
      <c r="H44" s="190"/>
      <c r="K44" s="190"/>
      <c r="L44" s="494"/>
      <c r="M44" s="665"/>
      <c r="N44" s="494"/>
      <c r="O44" s="494"/>
      <c r="P44" s="494"/>
      <c r="Q44" s="190"/>
    </row>
    <row r="45" spans="1:29" x14ac:dyDescent="0.25">
      <c r="A45" s="3" t="s">
        <v>16</v>
      </c>
      <c r="C45" s="1">
        <v>13.188684613979879</v>
      </c>
      <c r="D45" s="1">
        <v>27.071592480758095</v>
      </c>
      <c r="E45" s="1">
        <v>19.77984176126591</v>
      </c>
      <c r="F45" s="1">
        <v>39.959881143996121</v>
      </c>
      <c r="H45" s="190"/>
      <c r="P45" s="494"/>
      <c r="Q45" s="1"/>
    </row>
    <row r="46" spans="1:29" x14ac:dyDescent="0.25">
      <c r="A46" s="3" t="s">
        <v>17</v>
      </c>
      <c r="C46" s="4">
        <v>14.637357814271599</v>
      </c>
      <c r="D46" s="5">
        <v>26.487692476500495</v>
      </c>
      <c r="E46" s="5">
        <v>16.729453933652756</v>
      </c>
      <c r="F46" s="5">
        <v>42.145495775575142</v>
      </c>
    </row>
    <row r="47" spans="1:29" x14ac:dyDescent="0.25">
      <c r="B47"/>
      <c r="C47"/>
      <c r="D47"/>
      <c r="E47"/>
      <c r="F47"/>
    </row>
    <row r="48" spans="1:29" x14ac:dyDescent="0.25">
      <c r="B48"/>
      <c r="C48"/>
      <c r="D48"/>
      <c r="E48"/>
      <c r="F48"/>
    </row>
    <row r="49" spans="2:17" x14ac:dyDescent="0.25">
      <c r="B49" s="46"/>
      <c r="O49" s="227"/>
      <c r="Q49" s="1"/>
    </row>
    <row r="52" spans="2:17" x14ac:dyDescent="0.25">
      <c r="G52"/>
    </row>
    <row r="54" spans="2:17" x14ac:dyDescent="0.25">
      <c r="B54" s="182"/>
    </row>
  </sheetData>
  <mergeCells count="24">
    <mergeCell ref="L21:P21"/>
    <mergeCell ref="C40:G40"/>
    <mergeCell ref="L39:P39"/>
    <mergeCell ref="A26:H26"/>
    <mergeCell ref="C39:G39"/>
    <mergeCell ref="L40:P40"/>
    <mergeCell ref="A27:H27"/>
    <mergeCell ref="L43:P43"/>
    <mergeCell ref="C43:G43"/>
    <mergeCell ref="L42:P42"/>
    <mergeCell ref="C41:G41"/>
    <mergeCell ref="C42:G42"/>
    <mergeCell ref="L41:P41"/>
    <mergeCell ref="A3:H3"/>
    <mergeCell ref="L19:P19"/>
    <mergeCell ref="L20:P20"/>
    <mergeCell ref="C19:G19"/>
    <mergeCell ref="C20:G20"/>
    <mergeCell ref="L16:P16"/>
    <mergeCell ref="L17:P17"/>
    <mergeCell ref="L18:P18"/>
    <mergeCell ref="C16:G16"/>
    <mergeCell ref="C17:G17"/>
    <mergeCell ref="C18:G18"/>
  </mergeCells>
  <pageMargins left="0.7" right="0.7" top="0.75" bottom="0.75" header="0.3" footer="0.3"/>
  <pageSetup scale="36" orientation="landscape" r:id="rId1"/>
  <rowBreaks count="1" manualBreakCount="1">
    <brk id="21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zoomScale="91" zoomScaleNormal="91" workbookViewId="0">
      <selection activeCell="X19" sqref="X19:AD23"/>
    </sheetView>
  </sheetViews>
  <sheetFormatPr defaultColWidth="9.140625" defaultRowHeight="12" x14ac:dyDescent="0.2"/>
  <cols>
    <col min="1" max="1" width="12" style="30" customWidth="1"/>
    <col min="2" max="2" width="13.85546875" style="37" customWidth="1"/>
    <col min="3" max="3" width="10.28515625" style="37" customWidth="1"/>
    <col min="4" max="4" width="10.5703125" style="37" customWidth="1"/>
    <col min="5" max="5" width="11.28515625" style="37" customWidth="1"/>
    <col min="6" max="6" width="11.85546875" style="37" customWidth="1"/>
    <col min="7" max="7" width="11.7109375" style="37" customWidth="1"/>
    <col min="8" max="9" width="11.85546875" style="37" customWidth="1"/>
    <col min="10" max="10" width="14.85546875" style="37" customWidth="1"/>
    <col min="11" max="11" width="5.5703125" style="30" customWidth="1"/>
    <col min="12" max="12" width="14.42578125" style="30" customWidth="1"/>
    <col min="13" max="13" width="13.85546875" style="30" customWidth="1"/>
    <col min="14" max="14" width="10.28515625" style="30" customWidth="1"/>
    <col min="15" max="15" width="10.5703125" style="30" customWidth="1"/>
    <col min="16" max="16" width="11.28515625" style="30" customWidth="1"/>
    <col min="17" max="17" width="11.85546875" style="30" customWidth="1"/>
    <col min="18" max="18" width="11.7109375" style="30" customWidth="1"/>
    <col min="19" max="20" width="11.85546875" style="30" customWidth="1"/>
    <col min="21" max="21" width="14.85546875" style="30" customWidth="1"/>
    <col min="22" max="22" width="8.85546875" style="30" customWidth="1"/>
    <col min="23" max="23" width="17.85546875" style="30" customWidth="1"/>
    <col min="24" max="24" width="12.85546875" style="30" customWidth="1"/>
    <col min="25" max="25" width="10.7109375" style="30" customWidth="1"/>
    <col min="26" max="26" width="10.5703125" style="30" customWidth="1"/>
    <col min="27" max="27" width="11.140625" style="30" customWidth="1"/>
    <col min="28" max="28" width="12.42578125" style="30" customWidth="1"/>
    <col min="29" max="29" width="10.5703125" style="30" customWidth="1"/>
    <col min="30" max="30" width="14.42578125" style="30" customWidth="1"/>
    <col min="31" max="16384" width="9.140625" style="30"/>
  </cols>
  <sheetData>
    <row r="1" spans="1:30" ht="18.75" customHeight="1" x14ac:dyDescent="0.35">
      <c r="A1" s="359" t="s">
        <v>177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  <c r="P1" s="359"/>
      <c r="Q1" s="359"/>
      <c r="R1" s="359"/>
      <c r="S1" s="359"/>
      <c r="T1" s="359"/>
      <c r="U1" s="359"/>
      <c r="V1" s="359"/>
      <c r="W1" s="359"/>
      <c r="X1" s="359"/>
      <c r="Y1" s="359"/>
      <c r="Z1" s="359"/>
      <c r="AA1" s="359"/>
      <c r="AB1" s="359"/>
      <c r="AC1" s="359"/>
      <c r="AD1" s="359"/>
    </row>
    <row r="2" spans="1:30" x14ac:dyDescent="0.2">
      <c r="U2" s="37"/>
    </row>
    <row r="3" spans="1:30" ht="21" customHeight="1" x14ac:dyDescent="0.25">
      <c r="A3" s="947" t="s">
        <v>419</v>
      </c>
      <c r="B3" s="947"/>
      <c r="C3" s="947"/>
      <c r="D3" s="947"/>
      <c r="E3" s="947"/>
      <c r="F3" s="947"/>
      <c r="G3" s="947"/>
      <c r="H3" s="947"/>
      <c r="I3" s="947"/>
      <c r="J3" s="947"/>
      <c r="L3" s="9" t="s">
        <v>39</v>
      </c>
      <c r="U3" s="37"/>
      <c r="W3" s="8" t="s">
        <v>104</v>
      </c>
    </row>
    <row r="4" spans="1:30" ht="60" x14ac:dyDescent="0.2">
      <c r="A4" s="211" t="s">
        <v>1</v>
      </c>
      <c r="B4" s="212" t="s">
        <v>34</v>
      </c>
      <c r="C4" s="212" t="s">
        <v>35</v>
      </c>
      <c r="D4" s="212" t="s">
        <v>36</v>
      </c>
      <c r="E4" s="212" t="s">
        <v>159</v>
      </c>
      <c r="F4" s="212" t="s">
        <v>38</v>
      </c>
      <c r="G4" s="212" t="s">
        <v>37</v>
      </c>
      <c r="H4" s="212" t="s">
        <v>63</v>
      </c>
      <c r="I4" s="212" t="s">
        <v>64</v>
      </c>
      <c r="J4" s="212" t="s">
        <v>62</v>
      </c>
      <c r="L4" s="205" t="s">
        <v>1</v>
      </c>
      <c r="M4" s="206" t="s">
        <v>34</v>
      </c>
      <c r="N4" s="206" t="s">
        <v>35</v>
      </c>
      <c r="O4" s="206" t="s">
        <v>36</v>
      </c>
      <c r="P4" s="206" t="s">
        <v>159</v>
      </c>
      <c r="Q4" s="206" t="s">
        <v>38</v>
      </c>
      <c r="R4" s="206" t="s">
        <v>37</v>
      </c>
      <c r="S4" s="206" t="s">
        <v>63</v>
      </c>
      <c r="T4" s="206" t="s">
        <v>64</v>
      </c>
      <c r="U4" s="206" t="s">
        <v>62</v>
      </c>
      <c r="V4" s="133"/>
      <c r="W4" s="38"/>
      <c r="X4" s="340" t="s">
        <v>34</v>
      </c>
      <c r="Y4" s="340" t="s">
        <v>35</v>
      </c>
      <c r="Z4" s="340" t="s">
        <v>36</v>
      </c>
      <c r="AA4" s="340" t="s">
        <v>159</v>
      </c>
      <c r="AB4" s="340" t="s">
        <v>38</v>
      </c>
      <c r="AC4" s="340" t="s">
        <v>37</v>
      </c>
      <c r="AD4" s="340" t="s">
        <v>62</v>
      </c>
    </row>
    <row r="5" spans="1:30" s="39" customFormat="1" x14ac:dyDescent="0.2">
      <c r="A5" s="213" t="s">
        <v>8</v>
      </c>
      <c r="B5" s="214">
        <v>0</v>
      </c>
      <c r="C5" s="214">
        <v>10000</v>
      </c>
      <c r="D5" s="619">
        <v>0</v>
      </c>
      <c r="E5" s="214">
        <v>17205</v>
      </c>
      <c r="F5" s="214">
        <v>1760</v>
      </c>
      <c r="G5" s="214">
        <v>0</v>
      </c>
      <c r="H5" s="214">
        <v>0</v>
      </c>
      <c r="I5" s="214">
        <v>0</v>
      </c>
      <c r="J5" s="214">
        <v>1509</v>
      </c>
      <c r="K5" s="30"/>
      <c r="L5" s="203" t="s">
        <v>8</v>
      </c>
      <c r="M5" s="204">
        <f>'NDoH Outstanding Orders'!L26</f>
        <v>150000</v>
      </c>
      <c r="N5" s="204">
        <f>'NDoH Outstanding Orders'!M26</f>
        <v>0</v>
      </c>
      <c r="O5" s="204">
        <f>'NDoH Outstanding Orders'!N26</f>
        <v>0</v>
      </c>
      <c r="P5" s="204">
        <f>'NDoH Outstanding Orders'!O26</f>
        <v>0</v>
      </c>
      <c r="Q5" s="204">
        <f>'NDoH Outstanding Orders'!P26</f>
        <v>4000</v>
      </c>
      <c r="R5" s="204">
        <f>'NDoH Outstanding Orders'!Q26</f>
        <v>100000</v>
      </c>
      <c r="S5" s="204">
        <f>'NDoH Outstanding Orders'!R26</f>
        <v>0</v>
      </c>
      <c r="T5" s="204">
        <f>'NDoH Outstanding Orders'!S26</f>
        <v>0</v>
      </c>
      <c r="U5" s="204">
        <f>'NDoH Outstanding Orders'!T26</f>
        <v>0</v>
      </c>
      <c r="W5" s="125" t="s">
        <v>8</v>
      </c>
      <c r="X5" s="126">
        <f t="shared" ref="X5:AC5" si="0">B5+M5</f>
        <v>150000</v>
      </c>
      <c r="Y5" s="126">
        <f t="shared" si="0"/>
        <v>10000</v>
      </c>
      <c r="Z5" s="126">
        <f t="shared" si="0"/>
        <v>0</v>
      </c>
      <c r="AA5" s="126">
        <f t="shared" si="0"/>
        <v>17205</v>
      </c>
      <c r="AB5" s="126">
        <f t="shared" si="0"/>
        <v>5760</v>
      </c>
      <c r="AC5" s="126">
        <f t="shared" si="0"/>
        <v>100000</v>
      </c>
      <c r="AD5" s="126">
        <f t="shared" ref="AD5:AD10" si="1">J5+U5</f>
        <v>1509</v>
      </c>
    </row>
    <row r="6" spans="1:30" s="39" customFormat="1" x14ac:dyDescent="0.2">
      <c r="A6" s="213" t="s">
        <v>9</v>
      </c>
      <c r="B6" s="214">
        <v>0</v>
      </c>
      <c r="C6" s="214">
        <v>2200</v>
      </c>
      <c r="D6" s="214">
        <v>0</v>
      </c>
      <c r="E6" s="214">
        <v>5130</v>
      </c>
      <c r="F6" s="619">
        <v>0</v>
      </c>
      <c r="G6" s="634">
        <v>2000</v>
      </c>
      <c r="H6" s="214">
        <v>0</v>
      </c>
      <c r="I6" s="214">
        <v>0</v>
      </c>
      <c r="J6" s="214">
        <v>0</v>
      </c>
      <c r="K6" s="30"/>
      <c r="L6" s="203" t="s">
        <v>9</v>
      </c>
      <c r="M6" s="204">
        <f>'NDoH Outstanding Orders'!L46</f>
        <v>124400</v>
      </c>
      <c r="N6" s="204">
        <f>'NDoH Outstanding Orders'!M46</f>
        <v>20000</v>
      </c>
      <c r="O6" s="204">
        <f>'NDoH Outstanding Orders'!N46</f>
        <v>4000</v>
      </c>
      <c r="P6" s="204">
        <f>'NDoH Outstanding Orders'!O46</f>
        <v>0</v>
      </c>
      <c r="Q6" s="204">
        <f>'NDoH Outstanding Orders'!P46</f>
        <v>1000</v>
      </c>
      <c r="R6" s="204">
        <f>'NDoH Outstanding Orders'!Q46</f>
        <v>100000</v>
      </c>
      <c r="S6" s="204">
        <f>'NDoH Outstanding Orders'!R46</f>
        <v>0</v>
      </c>
      <c r="T6" s="204">
        <f>'NDoH Outstanding Orders'!S46</f>
        <v>0</v>
      </c>
      <c r="U6" s="204">
        <f>'NDoH Outstanding Orders'!T46</f>
        <v>0</v>
      </c>
      <c r="W6" s="125" t="s">
        <v>9</v>
      </c>
      <c r="X6" s="126">
        <f t="shared" ref="X6:AC10" si="2">B6+M6</f>
        <v>124400</v>
      </c>
      <c r="Y6" s="126">
        <f t="shared" si="2"/>
        <v>22200</v>
      </c>
      <c r="Z6" s="126">
        <f t="shared" si="2"/>
        <v>4000</v>
      </c>
      <c r="AA6" s="126">
        <f t="shared" si="2"/>
        <v>5130</v>
      </c>
      <c r="AB6" s="126">
        <f t="shared" si="2"/>
        <v>1000</v>
      </c>
      <c r="AC6" s="126">
        <f t="shared" si="2"/>
        <v>102000</v>
      </c>
      <c r="AD6" s="126">
        <f t="shared" si="1"/>
        <v>0</v>
      </c>
    </row>
    <row r="7" spans="1:30" s="39" customFormat="1" x14ac:dyDescent="0.2">
      <c r="A7" s="213" t="s">
        <v>11</v>
      </c>
      <c r="B7" s="214">
        <v>0</v>
      </c>
      <c r="C7" s="619">
        <v>1070</v>
      </c>
      <c r="D7" s="214">
        <v>4480</v>
      </c>
      <c r="E7" s="214">
        <v>0</v>
      </c>
      <c r="F7" s="214">
        <f>22-22</f>
        <v>0</v>
      </c>
      <c r="G7" s="619">
        <v>0</v>
      </c>
      <c r="H7" s="214">
        <v>0</v>
      </c>
      <c r="I7" s="214">
        <v>0</v>
      </c>
      <c r="J7" s="214">
        <v>0</v>
      </c>
      <c r="K7" s="30"/>
      <c r="L7" s="203" t="s">
        <v>11</v>
      </c>
      <c r="M7" s="204">
        <f>'NDoH Outstanding Orders'!L62</f>
        <v>100000</v>
      </c>
      <c r="N7" s="204">
        <f>'NDoH Outstanding Orders'!M62</f>
        <v>2000</v>
      </c>
      <c r="O7" s="204">
        <f>'NDoH Outstanding Orders'!N62</f>
        <v>0</v>
      </c>
      <c r="P7" s="204">
        <f>'NDoH Outstanding Orders'!O62</f>
        <v>0</v>
      </c>
      <c r="Q7" s="204">
        <f>'NDoH Outstanding Orders'!P62</f>
        <v>1500</v>
      </c>
      <c r="R7" s="204">
        <f>'NDoH Outstanding Orders'!Q62</f>
        <v>100000</v>
      </c>
      <c r="S7" s="204">
        <f>'NDoH Outstanding Orders'!R62</f>
        <v>0</v>
      </c>
      <c r="T7" s="204">
        <f>'NDoH Outstanding Orders'!S62</f>
        <v>0</v>
      </c>
      <c r="U7" s="204">
        <f>'NDoH Outstanding Orders'!T62</f>
        <v>0</v>
      </c>
      <c r="W7" s="125" t="s">
        <v>11</v>
      </c>
      <c r="X7" s="126">
        <f t="shared" si="2"/>
        <v>100000</v>
      </c>
      <c r="Y7" s="126">
        <f t="shared" si="2"/>
        <v>3070</v>
      </c>
      <c r="Z7" s="126">
        <f t="shared" si="2"/>
        <v>4480</v>
      </c>
      <c r="AA7" s="126">
        <f t="shared" si="2"/>
        <v>0</v>
      </c>
      <c r="AB7" s="126">
        <f t="shared" si="2"/>
        <v>1500</v>
      </c>
      <c r="AC7" s="126">
        <f t="shared" si="2"/>
        <v>100000</v>
      </c>
      <c r="AD7" s="126">
        <f t="shared" si="1"/>
        <v>0</v>
      </c>
    </row>
    <row r="8" spans="1:30" s="39" customFormat="1" x14ac:dyDescent="0.2">
      <c r="A8" s="213" t="s">
        <v>10</v>
      </c>
      <c r="B8" s="214">
        <v>0</v>
      </c>
      <c r="C8" s="619">
        <v>380</v>
      </c>
      <c r="D8" s="619">
        <v>690</v>
      </c>
      <c r="E8" s="619">
        <v>0</v>
      </c>
      <c r="F8" s="619">
        <v>0</v>
      </c>
      <c r="G8" s="619">
        <v>0</v>
      </c>
      <c r="H8" s="619">
        <v>0</v>
      </c>
      <c r="I8" s="619">
        <v>0</v>
      </c>
      <c r="J8" s="619">
        <v>0</v>
      </c>
      <c r="K8" s="30"/>
      <c r="L8" s="203" t="s">
        <v>10</v>
      </c>
      <c r="M8" s="204">
        <f>'NDoH Outstanding Orders'!L80</f>
        <v>150000</v>
      </c>
      <c r="N8" s="204">
        <f>'NDoH Outstanding Orders'!M80</f>
        <v>0</v>
      </c>
      <c r="O8" s="204">
        <f>'NDoH Outstanding Orders'!N80</f>
        <v>7000</v>
      </c>
      <c r="P8" s="204">
        <f>'NDoH Outstanding Orders'!O80</f>
        <v>0</v>
      </c>
      <c r="Q8" s="204">
        <f>'NDoH Outstanding Orders'!P80</f>
        <v>2000</v>
      </c>
      <c r="R8" s="204">
        <f>'NDoH Outstanding Orders'!Q80</f>
        <v>100000</v>
      </c>
      <c r="S8" s="204">
        <f>'NDoH Outstanding Orders'!R80</f>
        <v>0</v>
      </c>
      <c r="T8" s="204">
        <f>'NDoH Outstanding Orders'!S80</f>
        <v>0</v>
      </c>
      <c r="U8" s="204">
        <f>'NDoH Outstanding Orders'!T80</f>
        <v>0</v>
      </c>
      <c r="W8" s="125" t="s">
        <v>10</v>
      </c>
      <c r="X8" s="126">
        <f t="shared" si="2"/>
        <v>150000</v>
      </c>
      <c r="Y8" s="126">
        <f t="shared" si="2"/>
        <v>380</v>
      </c>
      <c r="Z8" s="126">
        <f t="shared" si="2"/>
        <v>7690</v>
      </c>
      <c r="AA8" s="126">
        <f t="shared" si="2"/>
        <v>0</v>
      </c>
      <c r="AB8" s="126">
        <f t="shared" si="2"/>
        <v>2000</v>
      </c>
      <c r="AC8" s="126">
        <f t="shared" si="2"/>
        <v>100000</v>
      </c>
      <c r="AD8" s="126">
        <f t="shared" si="1"/>
        <v>0</v>
      </c>
    </row>
    <row r="9" spans="1:30" s="39" customFormat="1" x14ac:dyDescent="0.2">
      <c r="A9" s="213" t="s">
        <v>12</v>
      </c>
      <c r="B9" s="214">
        <v>0</v>
      </c>
      <c r="C9" s="619">
        <v>42204</v>
      </c>
      <c r="D9" s="619">
        <v>14346</v>
      </c>
      <c r="E9" s="214">
        <v>3083</v>
      </c>
      <c r="F9" s="214">
        <v>0</v>
      </c>
      <c r="G9" s="224">
        <v>50200</v>
      </c>
      <c r="H9" s="214">
        <v>0</v>
      </c>
      <c r="I9" s="214">
        <v>22</v>
      </c>
      <c r="J9" s="214">
        <v>924</v>
      </c>
      <c r="K9" s="30"/>
      <c r="L9" s="203" t="s">
        <v>12</v>
      </c>
      <c r="M9" s="204">
        <f>'NDoH Outstanding Orders'!L101</f>
        <v>100000</v>
      </c>
      <c r="N9" s="204">
        <f>'NDoH Outstanding Orders'!M101</f>
        <v>5000</v>
      </c>
      <c r="O9" s="204">
        <f>'NDoH Outstanding Orders'!N101</f>
        <v>5000</v>
      </c>
      <c r="P9" s="204">
        <f>'NDoH Outstanding Orders'!O101</f>
        <v>0</v>
      </c>
      <c r="Q9" s="204">
        <f>'NDoH Outstanding Orders'!P101</f>
        <v>1500</v>
      </c>
      <c r="R9" s="204">
        <f>'NDoH Outstanding Orders'!Q101</f>
        <v>100000</v>
      </c>
      <c r="S9" s="204">
        <f>'NDoH Outstanding Orders'!R101</f>
        <v>0</v>
      </c>
      <c r="T9" s="204">
        <f>'NDoH Outstanding Orders'!S101</f>
        <v>0</v>
      </c>
      <c r="U9" s="204">
        <f>'NDoH Outstanding Orders'!T101</f>
        <v>0</v>
      </c>
      <c r="W9" s="125" t="s">
        <v>12</v>
      </c>
      <c r="X9" s="126">
        <f t="shared" si="2"/>
        <v>100000</v>
      </c>
      <c r="Y9" s="126">
        <f t="shared" si="2"/>
        <v>47204</v>
      </c>
      <c r="Z9" s="126">
        <f t="shared" si="2"/>
        <v>19346</v>
      </c>
      <c r="AA9" s="126">
        <f t="shared" si="2"/>
        <v>3083</v>
      </c>
      <c r="AB9" s="126">
        <f t="shared" si="2"/>
        <v>1500</v>
      </c>
      <c r="AC9" s="126">
        <f t="shared" si="2"/>
        <v>150200</v>
      </c>
      <c r="AD9" s="126">
        <f t="shared" si="1"/>
        <v>924</v>
      </c>
    </row>
    <row r="10" spans="1:30" s="123" customFormat="1" x14ac:dyDescent="0.2">
      <c r="A10" s="209" t="s">
        <v>13</v>
      </c>
      <c r="B10" s="283">
        <f t="shared" ref="B10:G10" si="3">SUM(B5:B9)</f>
        <v>0</v>
      </c>
      <c r="C10" s="283">
        <f>SUM(C5:C9)</f>
        <v>55854</v>
      </c>
      <c r="D10" s="283">
        <f t="shared" si="3"/>
        <v>19516</v>
      </c>
      <c r="E10" s="283">
        <f t="shared" si="3"/>
        <v>25418</v>
      </c>
      <c r="F10" s="283">
        <f t="shared" si="3"/>
        <v>1760</v>
      </c>
      <c r="G10" s="283">
        <f t="shared" si="3"/>
        <v>52200</v>
      </c>
      <c r="H10" s="283">
        <v>0</v>
      </c>
      <c r="I10" s="283">
        <v>0</v>
      </c>
      <c r="J10" s="283">
        <f>SUM(J5:J9)</f>
        <v>2433</v>
      </c>
      <c r="K10" s="30"/>
      <c r="L10" s="284" t="s">
        <v>13</v>
      </c>
      <c r="M10" s="283">
        <f>SUM(M5:M9)</f>
        <v>624400</v>
      </c>
      <c r="N10" s="621">
        <f>SUM(N5:N9)</f>
        <v>27000</v>
      </c>
      <c r="O10" s="621">
        <f t="shared" ref="O10:U10" si="4">SUM(O5:O9)</f>
        <v>16000</v>
      </c>
      <c r="P10" s="621">
        <f>SUM(P5:P9)</f>
        <v>0</v>
      </c>
      <c r="Q10" s="621">
        <f t="shared" si="4"/>
        <v>10000</v>
      </c>
      <c r="R10" s="621">
        <f t="shared" si="4"/>
        <v>500000</v>
      </c>
      <c r="S10" s="621">
        <f t="shared" si="4"/>
        <v>0</v>
      </c>
      <c r="T10" s="621">
        <f t="shared" si="4"/>
        <v>0</v>
      </c>
      <c r="U10" s="621">
        <f t="shared" si="4"/>
        <v>0</v>
      </c>
      <c r="W10" s="285" t="s">
        <v>13</v>
      </c>
      <c r="X10" s="286">
        <f>B10+M10</f>
        <v>624400</v>
      </c>
      <c r="Y10" s="286">
        <f t="shared" si="2"/>
        <v>82854</v>
      </c>
      <c r="Z10" s="286">
        <f t="shared" si="2"/>
        <v>35516</v>
      </c>
      <c r="AA10" s="286">
        <f t="shared" si="2"/>
        <v>25418</v>
      </c>
      <c r="AB10" s="286">
        <f t="shared" si="2"/>
        <v>11760</v>
      </c>
      <c r="AC10" s="286">
        <f t="shared" si="2"/>
        <v>552200</v>
      </c>
      <c r="AD10" s="286">
        <f t="shared" si="1"/>
        <v>2433</v>
      </c>
    </row>
    <row r="11" spans="1:30" s="123" customFormat="1" x14ac:dyDescent="0.2">
      <c r="A11" s="209" t="s">
        <v>14</v>
      </c>
      <c r="B11" s="287">
        <v>0</v>
      </c>
      <c r="C11" s="287">
        <v>0</v>
      </c>
      <c r="D11" s="287">
        <v>0</v>
      </c>
      <c r="E11" s="287">
        <v>0</v>
      </c>
      <c r="F11" s="210">
        <v>0</v>
      </c>
      <c r="G11" s="287">
        <v>0</v>
      </c>
      <c r="H11" s="210">
        <v>0</v>
      </c>
      <c r="I11" s="210">
        <v>0</v>
      </c>
      <c r="J11" s="210">
        <v>0</v>
      </c>
      <c r="K11" s="30"/>
      <c r="L11" s="209" t="s">
        <v>14</v>
      </c>
      <c r="M11" s="210">
        <v>0</v>
      </c>
      <c r="N11" s="210">
        <v>0</v>
      </c>
      <c r="O11" s="210">
        <v>0</v>
      </c>
      <c r="P11" s="210">
        <v>0</v>
      </c>
      <c r="Q11" s="210">
        <v>0</v>
      </c>
      <c r="R11" s="210">
        <v>0</v>
      </c>
      <c r="S11" s="210">
        <v>0</v>
      </c>
      <c r="T11" s="210">
        <v>0</v>
      </c>
      <c r="U11" s="210">
        <v>0</v>
      </c>
      <c r="W11" s="285" t="s">
        <v>14</v>
      </c>
      <c r="X11" s="286">
        <f>B11+M11</f>
        <v>0</v>
      </c>
      <c r="Y11" s="286">
        <f t="shared" ref="Y11:AD11" si="5">C11+N11</f>
        <v>0</v>
      </c>
      <c r="Z11" s="286">
        <f t="shared" si="5"/>
        <v>0</v>
      </c>
      <c r="AA11" s="286">
        <f t="shared" si="5"/>
        <v>0</v>
      </c>
      <c r="AB11" s="286">
        <f t="shared" si="5"/>
        <v>0</v>
      </c>
      <c r="AC11" s="286">
        <f t="shared" si="5"/>
        <v>0</v>
      </c>
      <c r="AD11" s="286">
        <f t="shared" si="5"/>
        <v>0</v>
      </c>
    </row>
    <row r="12" spans="1:30" s="40" customFormat="1" x14ac:dyDescent="0.2">
      <c r="A12" s="207" t="s">
        <v>15</v>
      </c>
      <c r="B12" s="208">
        <f>B11+B10</f>
        <v>0</v>
      </c>
      <c r="C12" s="208">
        <f t="shared" ref="C12:J12" si="6">C11+C10</f>
        <v>55854</v>
      </c>
      <c r="D12" s="208">
        <f t="shared" si="6"/>
        <v>19516</v>
      </c>
      <c r="E12" s="208">
        <f t="shared" si="6"/>
        <v>25418</v>
      </c>
      <c r="F12" s="208">
        <f t="shared" si="6"/>
        <v>1760</v>
      </c>
      <c r="G12" s="208">
        <f t="shared" si="6"/>
        <v>52200</v>
      </c>
      <c r="H12" s="208">
        <f t="shared" si="6"/>
        <v>0</v>
      </c>
      <c r="I12" s="208">
        <f t="shared" si="6"/>
        <v>0</v>
      </c>
      <c r="J12" s="208">
        <f t="shared" si="6"/>
        <v>2433</v>
      </c>
      <c r="L12" s="207" t="s">
        <v>15</v>
      </c>
      <c r="M12" s="208">
        <f>M10+M11</f>
        <v>624400</v>
      </c>
      <c r="N12" s="613">
        <f t="shared" ref="N12:U12" si="7">N10+N11</f>
        <v>27000</v>
      </c>
      <c r="O12" s="613">
        <f t="shared" si="7"/>
        <v>16000</v>
      </c>
      <c r="P12" s="613">
        <f>P10+P11</f>
        <v>0</v>
      </c>
      <c r="Q12" s="613">
        <f>Q10+Q11</f>
        <v>10000</v>
      </c>
      <c r="R12" s="613">
        <f t="shared" si="7"/>
        <v>500000</v>
      </c>
      <c r="S12" s="613">
        <f t="shared" si="7"/>
        <v>0</v>
      </c>
      <c r="T12" s="613">
        <f t="shared" si="7"/>
        <v>0</v>
      </c>
      <c r="U12" s="613">
        <f t="shared" si="7"/>
        <v>0</v>
      </c>
      <c r="W12" s="341" t="s">
        <v>15</v>
      </c>
      <c r="X12" s="41">
        <f t="shared" ref="X12:AD12" si="8">X10+X11</f>
        <v>624400</v>
      </c>
      <c r="Y12" s="41">
        <f>Y10+Y11</f>
        <v>82854</v>
      </c>
      <c r="Z12" s="41">
        <f t="shared" si="8"/>
        <v>35516</v>
      </c>
      <c r="AA12" s="41">
        <f t="shared" si="8"/>
        <v>25418</v>
      </c>
      <c r="AB12" s="41">
        <f t="shared" si="8"/>
        <v>11760</v>
      </c>
      <c r="AC12" s="41">
        <f t="shared" si="8"/>
        <v>552200</v>
      </c>
      <c r="AD12" s="41">
        <f t="shared" si="8"/>
        <v>2433</v>
      </c>
    </row>
    <row r="14" spans="1:30" ht="9.75" customHeight="1" x14ac:dyDescent="0.2"/>
    <row r="15" spans="1:30" s="145" customFormat="1" ht="5.25" hidden="1" customHeight="1" x14ac:dyDescent="0.2"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30" s="179" customFormat="1" ht="19.5" customHeight="1" x14ac:dyDescent="0.35">
      <c r="A16" s="948" t="s">
        <v>98</v>
      </c>
      <c r="B16" s="948"/>
      <c r="C16" s="948"/>
      <c r="D16" s="948"/>
      <c r="E16" s="948"/>
      <c r="F16" s="948"/>
      <c r="G16" s="948"/>
      <c r="H16" s="948"/>
      <c r="I16" s="948"/>
      <c r="J16" s="948"/>
      <c r="K16" s="948"/>
      <c r="L16" s="948"/>
      <c r="M16" s="948"/>
      <c r="N16" s="948"/>
      <c r="O16" s="948"/>
      <c r="P16" s="948"/>
      <c r="Q16" s="948"/>
      <c r="R16" s="948"/>
      <c r="S16" s="948"/>
      <c r="T16" s="948"/>
      <c r="U16" s="948"/>
      <c r="V16" s="948"/>
      <c r="W16" s="948"/>
      <c r="X16" s="948"/>
      <c r="Y16" s="948"/>
      <c r="Z16" s="948"/>
      <c r="AA16" s="948"/>
      <c r="AB16" s="948"/>
      <c r="AC16" s="948"/>
      <c r="AD16" s="948"/>
    </row>
    <row r="17" spans="1:30" ht="21" customHeight="1" x14ac:dyDescent="0.25">
      <c r="A17" s="947" t="s">
        <v>394</v>
      </c>
      <c r="B17" s="947"/>
      <c r="C17" s="947"/>
      <c r="D17" s="947"/>
      <c r="E17" s="947"/>
      <c r="F17" s="947"/>
      <c r="G17" s="947"/>
      <c r="H17" s="947"/>
      <c r="I17" s="947"/>
      <c r="J17" s="947"/>
      <c r="L17" s="9" t="s">
        <v>39</v>
      </c>
      <c r="U17" s="611"/>
      <c r="W17" s="8" t="s">
        <v>104</v>
      </c>
    </row>
    <row r="18" spans="1:30" ht="60" x14ac:dyDescent="0.2">
      <c r="A18" s="616" t="s">
        <v>1</v>
      </c>
      <c r="B18" s="617" t="s">
        <v>34</v>
      </c>
      <c r="C18" s="617" t="s">
        <v>35</v>
      </c>
      <c r="D18" s="617" t="s">
        <v>36</v>
      </c>
      <c r="E18" s="617" t="s">
        <v>159</v>
      </c>
      <c r="F18" s="617" t="s">
        <v>38</v>
      </c>
      <c r="G18" s="617" t="s">
        <v>37</v>
      </c>
      <c r="H18" s="617" t="s">
        <v>63</v>
      </c>
      <c r="I18" s="617" t="s">
        <v>64</v>
      </c>
      <c r="J18" s="617" t="s">
        <v>62</v>
      </c>
      <c r="L18" s="205" t="s">
        <v>1</v>
      </c>
      <c r="M18" s="206" t="s">
        <v>34</v>
      </c>
      <c r="N18" s="206" t="s">
        <v>35</v>
      </c>
      <c r="O18" s="206" t="s">
        <v>36</v>
      </c>
      <c r="P18" s="206" t="s">
        <v>159</v>
      </c>
      <c r="Q18" s="206" t="s">
        <v>38</v>
      </c>
      <c r="R18" s="206" t="s">
        <v>37</v>
      </c>
      <c r="S18" s="206" t="s">
        <v>63</v>
      </c>
      <c r="T18" s="206" t="s">
        <v>64</v>
      </c>
      <c r="U18" s="206" t="s">
        <v>62</v>
      </c>
      <c r="V18" s="133"/>
      <c r="W18" s="38"/>
      <c r="X18" s="340" t="s">
        <v>34</v>
      </c>
      <c r="Y18" s="340" t="s">
        <v>35</v>
      </c>
      <c r="Z18" s="340" t="s">
        <v>36</v>
      </c>
      <c r="AA18" s="340" t="s">
        <v>159</v>
      </c>
      <c r="AB18" s="340" t="s">
        <v>38</v>
      </c>
      <c r="AC18" s="340" t="s">
        <v>37</v>
      </c>
      <c r="AD18" s="340" t="s">
        <v>62</v>
      </c>
    </row>
    <row r="19" spans="1:30" s="39" customFormat="1" x14ac:dyDescent="0.2">
      <c r="A19" s="618" t="s">
        <v>8</v>
      </c>
      <c r="B19" s="619">
        <v>0</v>
      </c>
      <c r="C19" s="619">
        <v>10000</v>
      </c>
      <c r="D19" s="619">
        <v>0</v>
      </c>
      <c r="E19" s="619">
        <v>17205</v>
      </c>
      <c r="F19" s="619">
        <v>1760</v>
      </c>
      <c r="G19" s="619">
        <v>0</v>
      </c>
      <c r="H19" s="619">
        <v>0</v>
      </c>
      <c r="I19" s="619">
        <v>0</v>
      </c>
      <c r="J19" s="619">
        <v>1509</v>
      </c>
      <c r="K19" s="30"/>
      <c r="L19" s="203" t="s">
        <v>8</v>
      </c>
      <c r="M19" s="204">
        <v>150000</v>
      </c>
      <c r="N19" s="204">
        <v>0</v>
      </c>
      <c r="O19" s="204">
        <v>0</v>
      </c>
      <c r="P19" s="204">
        <v>0</v>
      </c>
      <c r="Q19" s="204">
        <v>4000</v>
      </c>
      <c r="R19" s="204">
        <v>100000</v>
      </c>
      <c r="S19" s="204">
        <v>0</v>
      </c>
      <c r="T19" s="204">
        <v>0</v>
      </c>
      <c r="U19" s="204">
        <v>0</v>
      </c>
      <c r="W19" s="125" t="s">
        <v>8</v>
      </c>
      <c r="X19" s="126">
        <f t="shared" ref="X19:X23" si="9">B19+M19</f>
        <v>150000</v>
      </c>
      <c r="Y19" s="126">
        <f t="shared" ref="Y19:Y23" si="10">C19+N19</f>
        <v>10000</v>
      </c>
      <c r="Z19" s="126">
        <f t="shared" ref="Z19:Z23" si="11">D19+O19</f>
        <v>0</v>
      </c>
      <c r="AA19" s="126">
        <f t="shared" ref="AA19:AA23" si="12">E19+P19</f>
        <v>17205</v>
      </c>
      <c r="AB19" s="126">
        <f t="shared" ref="AB19:AB23" si="13">F19+Q19</f>
        <v>5760</v>
      </c>
      <c r="AC19" s="126">
        <f t="shared" ref="AC19:AC23" si="14">G19+R19</f>
        <v>100000</v>
      </c>
      <c r="AD19" s="126">
        <f t="shared" ref="AD19:AD23" si="15">J19+U19</f>
        <v>1509</v>
      </c>
    </row>
    <row r="20" spans="1:30" s="39" customFormat="1" x14ac:dyDescent="0.2">
      <c r="A20" s="618" t="s">
        <v>9</v>
      </c>
      <c r="B20" s="619">
        <v>0</v>
      </c>
      <c r="C20" s="619">
        <v>2200</v>
      </c>
      <c r="D20" s="619">
        <v>0</v>
      </c>
      <c r="E20" s="619">
        <v>5130</v>
      </c>
      <c r="F20" s="619">
        <v>0</v>
      </c>
      <c r="G20" s="634">
        <v>2000</v>
      </c>
      <c r="H20" s="619">
        <v>0</v>
      </c>
      <c r="I20" s="619">
        <v>0</v>
      </c>
      <c r="J20" s="619">
        <v>0</v>
      </c>
      <c r="K20" s="30"/>
      <c r="L20" s="203" t="s">
        <v>9</v>
      </c>
      <c r="M20" s="204">
        <v>124400</v>
      </c>
      <c r="N20" s="204">
        <v>20000</v>
      </c>
      <c r="O20" s="204">
        <v>4000</v>
      </c>
      <c r="P20" s="204">
        <v>0</v>
      </c>
      <c r="Q20" s="204">
        <v>1000</v>
      </c>
      <c r="R20" s="204">
        <v>100000</v>
      </c>
      <c r="S20" s="204">
        <v>0</v>
      </c>
      <c r="T20" s="204">
        <v>0</v>
      </c>
      <c r="U20" s="204">
        <v>0</v>
      </c>
      <c r="W20" s="125" t="s">
        <v>9</v>
      </c>
      <c r="X20" s="126">
        <f t="shared" si="9"/>
        <v>124400</v>
      </c>
      <c r="Y20" s="126">
        <f t="shared" si="10"/>
        <v>22200</v>
      </c>
      <c r="Z20" s="126">
        <f t="shared" si="11"/>
        <v>4000</v>
      </c>
      <c r="AA20" s="126">
        <f t="shared" si="12"/>
        <v>5130</v>
      </c>
      <c r="AB20" s="126">
        <f t="shared" si="13"/>
        <v>1000</v>
      </c>
      <c r="AC20" s="126">
        <f t="shared" si="14"/>
        <v>102000</v>
      </c>
      <c r="AD20" s="126">
        <f t="shared" si="15"/>
        <v>0</v>
      </c>
    </row>
    <row r="21" spans="1:30" s="39" customFormat="1" x14ac:dyDescent="0.2">
      <c r="A21" s="618" t="s">
        <v>11</v>
      </c>
      <c r="B21" s="619">
        <v>0</v>
      </c>
      <c r="C21" s="619">
        <v>1070</v>
      </c>
      <c r="D21" s="619">
        <v>4480</v>
      </c>
      <c r="E21" s="619">
        <v>0</v>
      </c>
      <c r="F21" s="619">
        <f>22-22</f>
        <v>0</v>
      </c>
      <c r="G21" s="619">
        <v>0</v>
      </c>
      <c r="H21" s="619">
        <v>0</v>
      </c>
      <c r="I21" s="619">
        <v>0</v>
      </c>
      <c r="J21" s="619">
        <v>0</v>
      </c>
      <c r="K21" s="30"/>
      <c r="L21" s="203" t="s">
        <v>11</v>
      </c>
      <c r="M21" s="204">
        <v>100000</v>
      </c>
      <c r="N21" s="204">
        <v>2000</v>
      </c>
      <c r="O21" s="204">
        <v>5000</v>
      </c>
      <c r="P21" s="204">
        <v>0</v>
      </c>
      <c r="Q21" s="204">
        <v>1500</v>
      </c>
      <c r="R21" s="204">
        <v>100000</v>
      </c>
      <c r="S21" s="204">
        <v>0</v>
      </c>
      <c r="T21" s="204">
        <v>0</v>
      </c>
      <c r="U21" s="204">
        <v>0</v>
      </c>
      <c r="W21" s="125" t="s">
        <v>11</v>
      </c>
      <c r="X21" s="126">
        <f t="shared" si="9"/>
        <v>100000</v>
      </c>
      <c r="Y21" s="126">
        <f t="shared" si="10"/>
        <v>3070</v>
      </c>
      <c r="Z21" s="126">
        <f t="shared" si="11"/>
        <v>9480</v>
      </c>
      <c r="AA21" s="126">
        <f t="shared" si="12"/>
        <v>0</v>
      </c>
      <c r="AB21" s="126">
        <f t="shared" si="13"/>
        <v>1500</v>
      </c>
      <c r="AC21" s="126">
        <f t="shared" si="14"/>
        <v>100000</v>
      </c>
      <c r="AD21" s="126">
        <f t="shared" si="15"/>
        <v>0</v>
      </c>
    </row>
    <row r="22" spans="1:30" s="39" customFormat="1" x14ac:dyDescent="0.2">
      <c r="A22" s="618" t="s">
        <v>10</v>
      </c>
      <c r="B22" s="619">
        <v>0</v>
      </c>
      <c r="C22" s="619">
        <v>380</v>
      </c>
      <c r="D22" s="619">
        <v>690</v>
      </c>
      <c r="E22" s="619">
        <v>0</v>
      </c>
      <c r="F22" s="619">
        <v>0</v>
      </c>
      <c r="G22" s="619">
        <v>0</v>
      </c>
      <c r="H22" s="619">
        <v>0</v>
      </c>
      <c r="I22" s="619">
        <v>0</v>
      </c>
      <c r="J22" s="619">
        <v>0</v>
      </c>
      <c r="K22" s="30"/>
      <c r="L22" s="203" t="s">
        <v>10</v>
      </c>
      <c r="M22" s="204">
        <v>150000</v>
      </c>
      <c r="N22" s="204">
        <v>0</v>
      </c>
      <c r="O22" s="204">
        <v>7000</v>
      </c>
      <c r="P22" s="204">
        <v>0</v>
      </c>
      <c r="Q22" s="204">
        <v>2000</v>
      </c>
      <c r="R22" s="204">
        <v>100000</v>
      </c>
      <c r="S22" s="204">
        <v>0</v>
      </c>
      <c r="T22" s="204">
        <v>0</v>
      </c>
      <c r="U22" s="204">
        <v>0</v>
      </c>
      <c r="W22" s="125" t="s">
        <v>10</v>
      </c>
      <c r="X22" s="126">
        <f t="shared" si="9"/>
        <v>150000</v>
      </c>
      <c r="Y22" s="126">
        <f t="shared" si="10"/>
        <v>380</v>
      </c>
      <c r="Z22" s="126">
        <f t="shared" si="11"/>
        <v>7690</v>
      </c>
      <c r="AA22" s="126">
        <f t="shared" si="12"/>
        <v>0</v>
      </c>
      <c r="AB22" s="126">
        <f t="shared" si="13"/>
        <v>2000</v>
      </c>
      <c r="AC22" s="126">
        <f t="shared" si="14"/>
        <v>100000</v>
      </c>
      <c r="AD22" s="126">
        <f t="shared" si="15"/>
        <v>0</v>
      </c>
    </row>
    <row r="23" spans="1:30" s="39" customFormat="1" x14ac:dyDescent="0.2">
      <c r="A23" s="618" t="s">
        <v>12</v>
      </c>
      <c r="B23" s="619">
        <v>0</v>
      </c>
      <c r="C23" s="619">
        <v>42204</v>
      </c>
      <c r="D23" s="619">
        <v>14346</v>
      </c>
      <c r="E23" s="619">
        <v>3083</v>
      </c>
      <c r="F23" s="619">
        <v>0</v>
      </c>
      <c r="G23" s="620">
        <v>50200</v>
      </c>
      <c r="H23" s="619">
        <v>0</v>
      </c>
      <c r="I23" s="619">
        <v>22</v>
      </c>
      <c r="J23" s="619">
        <v>924</v>
      </c>
      <c r="K23" s="30"/>
      <c r="L23" s="203" t="s">
        <v>12</v>
      </c>
      <c r="M23" s="204">
        <v>100000</v>
      </c>
      <c r="N23" s="204">
        <v>5000</v>
      </c>
      <c r="O23" s="204">
        <v>5000</v>
      </c>
      <c r="P23" s="204">
        <v>0</v>
      </c>
      <c r="Q23" s="204">
        <v>1500</v>
      </c>
      <c r="R23" s="204">
        <v>100000</v>
      </c>
      <c r="S23" s="204">
        <v>0</v>
      </c>
      <c r="T23" s="204">
        <v>0</v>
      </c>
      <c r="U23" s="204">
        <v>0</v>
      </c>
      <c r="W23" s="125" t="s">
        <v>12</v>
      </c>
      <c r="X23" s="126">
        <f t="shared" si="9"/>
        <v>100000</v>
      </c>
      <c r="Y23" s="126">
        <f t="shared" si="10"/>
        <v>47204</v>
      </c>
      <c r="Z23" s="126">
        <f t="shared" si="11"/>
        <v>19346</v>
      </c>
      <c r="AA23" s="126">
        <f t="shared" si="12"/>
        <v>3083</v>
      </c>
      <c r="AB23" s="126">
        <f t="shared" si="13"/>
        <v>1500</v>
      </c>
      <c r="AC23" s="126">
        <f t="shared" si="14"/>
        <v>150200</v>
      </c>
      <c r="AD23" s="126">
        <f t="shared" si="15"/>
        <v>924</v>
      </c>
    </row>
    <row r="24" spans="1:30" s="123" customFormat="1" x14ac:dyDescent="0.2">
      <c r="A24" s="614" t="s">
        <v>13</v>
      </c>
      <c r="B24" s="621">
        <f t="shared" ref="B24:G24" si="16">SUM(B19:B23)</f>
        <v>0</v>
      </c>
      <c r="C24" s="621">
        <f>SUM(C19:C23)</f>
        <v>55854</v>
      </c>
      <c r="D24" s="621">
        <f t="shared" ref="D24:I24" si="17">SUM(D19:D23)</f>
        <v>19516</v>
      </c>
      <c r="E24" s="621">
        <f t="shared" si="17"/>
        <v>25418</v>
      </c>
      <c r="F24" s="621">
        <f t="shared" si="17"/>
        <v>1760</v>
      </c>
      <c r="G24" s="621">
        <f t="shared" si="17"/>
        <v>52200</v>
      </c>
      <c r="H24" s="621">
        <v>0</v>
      </c>
      <c r="I24" s="621">
        <v>0</v>
      </c>
      <c r="J24" s="621">
        <f>SUM(J19:J23)</f>
        <v>2433</v>
      </c>
      <c r="K24" s="30"/>
      <c r="L24" s="284" t="s">
        <v>13</v>
      </c>
      <c r="M24" s="621">
        <f>SUM(M19:M23)</f>
        <v>624400</v>
      </c>
      <c r="N24" s="621">
        <f>SUM(N19:N23)</f>
        <v>27000</v>
      </c>
      <c r="O24" s="621">
        <f t="shared" ref="O24:U24" si="18">SUM(O19:O23)</f>
        <v>21000</v>
      </c>
      <c r="P24" s="621">
        <f t="shared" si="18"/>
        <v>0</v>
      </c>
      <c r="Q24" s="621">
        <f t="shared" si="18"/>
        <v>10000</v>
      </c>
      <c r="R24" s="621">
        <f t="shared" si="18"/>
        <v>500000</v>
      </c>
      <c r="S24" s="621">
        <f t="shared" si="18"/>
        <v>0</v>
      </c>
      <c r="T24" s="621">
        <f t="shared" si="18"/>
        <v>0</v>
      </c>
      <c r="U24" s="621">
        <f t="shared" si="18"/>
        <v>0</v>
      </c>
      <c r="W24" s="285" t="s">
        <v>13</v>
      </c>
      <c r="X24" s="286">
        <f t="shared" ref="X19:X25" si="19">B24+M24</f>
        <v>624400</v>
      </c>
      <c r="Y24" s="286">
        <f t="shared" ref="Y19:Y25" si="20">C24+N24</f>
        <v>82854</v>
      </c>
      <c r="Z24" s="286">
        <f t="shared" ref="Z19:Z25" si="21">D24+O24</f>
        <v>40516</v>
      </c>
      <c r="AA24" s="286">
        <f t="shared" ref="AA19:AA25" si="22">E24+P24</f>
        <v>25418</v>
      </c>
      <c r="AB24" s="286">
        <f t="shared" ref="AB19:AB25" si="23">F24+Q24</f>
        <v>11760</v>
      </c>
      <c r="AC24" s="286">
        <f t="shared" ref="AC19:AC25" si="24">G24+R24</f>
        <v>552200</v>
      </c>
      <c r="AD24" s="286">
        <f t="shared" ref="AD19:AD24" si="25">J24+U24</f>
        <v>2433</v>
      </c>
    </row>
    <row r="25" spans="1:30" s="288" customFormat="1" x14ac:dyDescent="0.2">
      <c r="A25" s="614" t="s">
        <v>14</v>
      </c>
      <c r="B25" s="287">
        <v>0</v>
      </c>
      <c r="C25" s="287">
        <v>0</v>
      </c>
      <c r="D25" s="287">
        <v>0</v>
      </c>
      <c r="E25" s="287">
        <v>0</v>
      </c>
      <c r="F25" s="615">
        <v>0</v>
      </c>
      <c r="G25" s="287">
        <v>0</v>
      </c>
      <c r="H25" s="615">
        <v>0</v>
      </c>
      <c r="I25" s="615">
        <v>0</v>
      </c>
      <c r="J25" s="615">
        <v>0</v>
      </c>
      <c r="K25" s="30"/>
      <c r="L25" s="614" t="s">
        <v>14</v>
      </c>
      <c r="M25" s="615">
        <v>0</v>
      </c>
      <c r="N25" s="615">
        <v>0</v>
      </c>
      <c r="O25" s="615">
        <v>0</v>
      </c>
      <c r="P25" s="615">
        <v>0</v>
      </c>
      <c r="Q25" s="615">
        <v>0</v>
      </c>
      <c r="R25" s="615">
        <v>0</v>
      </c>
      <c r="S25" s="615">
        <v>0</v>
      </c>
      <c r="T25" s="615">
        <v>0</v>
      </c>
      <c r="U25" s="615">
        <v>0</v>
      </c>
      <c r="W25" s="285" t="s">
        <v>14</v>
      </c>
      <c r="X25" s="286">
        <f t="shared" si="19"/>
        <v>0</v>
      </c>
      <c r="Y25" s="286">
        <f t="shared" si="20"/>
        <v>0</v>
      </c>
      <c r="Z25" s="286">
        <f t="shared" si="21"/>
        <v>0</v>
      </c>
      <c r="AA25" s="286">
        <f t="shared" si="22"/>
        <v>0</v>
      </c>
      <c r="AB25" s="286">
        <f t="shared" si="23"/>
        <v>0</v>
      </c>
      <c r="AC25" s="286">
        <f t="shared" si="24"/>
        <v>0</v>
      </c>
      <c r="AD25" s="286">
        <f>H25+S25</f>
        <v>0</v>
      </c>
    </row>
    <row r="26" spans="1:30" s="40" customFormat="1" x14ac:dyDescent="0.2">
      <c r="A26" s="612" t="s">
        <v>15</v>
      </c>
      <c r="B26" s="613">
        <f>B25+B24</f>
        <v>0</v>
      </c>
      <c r="C26" s="613">
        <f t="shared" ref="C26:J26" si="26">C25+C24</f>
        <v>55854</v>
      </c>
      <c r="D26" s="613">
        <f t="shared" si="26"/>
        <v>19516</v>
      </c>
      <c r="E26" s="613">
        <f t="shared" si="26"/>
        <v>25418</v>
      </c>
      <c r="F26" s="613">
        <f t="shared" si="26"/>
        <v>1760</v>
      </c>
      <c r="G26" s="613">
        <f t="shared" si="26"/>
        <v>52200</v>
      </c>
      <c r="H26" s="613">
        <f t="shared" si="26"/>
        <v>0</v>
      </c>
      <c r="I26" s="613">
        <f t="shared" si="26"/>
        <v>0</v>
      </c>
      <c r="J26" s="613">
        <f t="shared" si="26"/>
        <v>2433</v>
      </c>
      <c r="K26" s="30"/>
      <c r="L26" s="612" t="s">
        <v>15</v>
      </c>
      <c r="M26" s="613">
        <f t="shared" ref="M26:U26" si="27">M24+M25</f>
        <v>624400</v>
      </c>
      <c r="N26" s="613">
        <f t="shared" si="27"/>
        <v>27000</v>
      </c>
      <c r="O26" s="613">
        <f t="shared" si="27"/>
        <v>21000</v>
      </c>
      <c r="P26" s="613">
        <f t="shared" si="27"/>
        <v>0</v>
      </c>
      <c r="Q26" s="613">
        <f t="shared" si="27"/>
        <v>10000</v>
      </c>
      <c r="R26" s="613">
        <f t="shared" si="27"/>
        <v>500000</v>
      </c>
      <c r="S26" s="613">
        <f t="shared" si="27"/>
        <v>0</v>
      </c>
      <c r="T26" s="613">
        <f t="shared" si="27"/>
        <v>0</v>
      </c>
      <c r="U26" s="613">
        <f t="shared" si="27"/>
        <v>0</v>
      </c>
      <c r="W26" s="341" t="s">
        <v>15</v>
      </c>
      <c r="X26" s="41">
        <f t="shared" ref="X26:AD26" si="28">X24+X25</f>
        <v>624400</v>
      </c>
      <c r="Y26" s="41">
        <f t="shared" si="28"/>
        <v>82854</v>
      </c>
      <c r="Z26" s="41">
        <f t="shared" si="28"/>
        <v>40516</v>
      </c>
      <c r="AA26" s="41">
        <f t="shared" si="28"/>
        <v>25418</v>
      </c>
      <c r="AB26" s="41">
        <f t="shared" si="28"/>
        <v>11760</v>
      </c>
      <c r="AC26" s="41">
        <f t="shared" si="28"/>
        <v>552200</v>
      </c>
      <c r="AD26" s="41">
        <f t="shared" si="28"/>
        <v>2433</v>
      </c>
    </row>
  </sheetData>
  <mergeCells count="3">
    <mergeCell ref="A17:J17"/>
    <mergeCell ref="A16:AD16"/>
    <mergeCell ref="A3:J3"/>
  </mergeCells>
  <pageMargins left="0.7" right="0.7" top="0.75" bottom="0.75" header="0.3" footer="0.3"/>
  <pageSetup paperSize="9" scale="3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zoomScale="82" zoomScaleNormal="82" workbookViewId="0">
      <selection activeCell="K28" sqref="K28"/>
    </sheetView>
  </sheetViews>
  <sheetFormatPr defaultColWidth="9.140625" defaultRowHeight="15" x14ac:dyDescent="0.25"/>
  <cols>
    <col min="1" max="1" width="14.42578125" style="259" customWidth="1"/>
    <col min="2" max="2" width="12.140625" style="241" customWidth="1"/>
    <col min="3" max="3" width="12.28515625" style="259" customWidth="1"/>
    <col min="4" max="4" width="10.85546875" customWidth="1"/>
    <col min="5" max="5" width="9.42578125" customWidth="1"/>
    <col min="6" max="6" width="10.28515625" customWidth="1"/>
    <col min="7" max="7" width="9.42578125" customWidth="1"/>
    <col min="8" max="8" width="9.5703125" style="242" customWidth="1"/>
    <col min="9" max="9" width="11.85546875" style="273" customWidth="1"/>
    <col min="10" max="10" width="11.85546875" style="124" customWidth="1"/>
    <col min="11" max="11" width="10.7109375" customWidth="1"/>
    <col min="12" max="12" width="10.5703125" customWidth="1"/>
    <col min="13" max="13" width="51.28515625" customWidth="1"/>
    <col min="14" max="14" width="11.28515625" customWidth="1"/>
    <col min="18" max="18" width="36.7109375" customWidth="1"/>
  </cols>
  <sheetData>
    <row r="1" spans="1:16" ht="15.75" thickBot="1" x14ac:dyDescent="0.3"/>
    <row r="2" spans="1:16" ht="19.5" thickBot="1" x14ac:dyDescent="0.35">
      <c r="B2" s="951" t="s">
        <v>124</v>
      </c>
      <c r="C2" s="952"/>
      <c r="D2" s="952"/>
      <c r="E2" s="952"/>
      <c r="F2" s="952"/>
      <c r="G2" s="952"/>
      <c r="H2" s="952"/>
      <c r="I2" s="952"/>
      <c r="J2" s="952"/>
      <c r="K2" s="952"/>
      <c r="L2" s="952"/>
      <c r="M2" s="953"/>
    </row>
    <row r="3" spans="1:16" x14ac:dyDescent="0.25">
      <c r="A3" s="260"/>
      <c r="B3" s="245"/>
      <c r="M3" s="243"/>
    </row>
    <row r="4" spans="1:16" ht="15.75" thickBot="1" x14ac:dyDescent="0.3">
      <c r="A4" s="261"/>
      <c r="B4" s="263"/>
      <c r="E4" s="4">
        <v>14.637357814271599</v>
      </c>
      <c r="F4" s="5">
        <v>26.487692476500495</v>
      </c>
      <c r="G4" s="5">
        <v>16.729453933652756</v>
      </c>
      <c r="H4" s="5">
        <v>42.145495775575142</v>
      </c>
      <c r="J4"/>
      <c r="M4" s="243"/>
    </row>
    <row r="5" spans="1:16" x14ac:dyDescent="0.25">
      <c r="A5" s="972" t="s">
        <v>116</v>
      </c>
      <c r="B5" s="954" t="s">
        <v>110</v>
      </c>
      <c r="C5" s="956" t="s">
        <v>112</v>
      </c>
      <c r="D5" s="958" t="s">
        <v>30</v>
      </c>
      <c r="E5" s="960" t="s">
        <v>90</v>
      </c>
      <c r="F5" s="960" t="s">
        <v>91</v>
      </c>
      <c r="G5" s="960" t="s">
        <v>92</v>
      </c>
      <c r="H5" s="960" t="s">
        <v>93</v>
      </c>
      <c r="I5" s="962" t="s">
        <v>94</v>
      </c>
      <c r="J5" s="964" t="s">
        <v>46</v>
      </c>
      <c r="K5" s="201" t="s">
        <v>95</v>
      </c>
      <c r="L5" s="202" t="s">
        <v>97</v>
      </c>
      <c r="M5" s="949" t="s">
        <v>111</v>
      </c>
    </row>
    <row r="6" spans="1:16" ht="24.75" customHeight="1" thickBot="1" x14ac:dyDescent="0.3">
      <c r="A6" s="973"/>
      <c r="B6" s="955"/>
      <c r="C6" s="957"/>
      <c r="D6" s="959"/>
      <c r="E6" s="961"/>
      <c r="F6" s="961"/>
      <c r="G6" s="961"/>
      <c r="H6" s="961"/>
      <c r="I6" s="963"/>
      <c r="J6" s="965"/>
      <c r="K6" s="199" t="s">
        <v>96</v>
      </c>
      <c r="L6" s="200" t="s">
        <v>95</v>
      </c>
      <c r="M6" s="950"/>
    </row>
    <row r="7" spans="1:16" ht="15.75" thickBot="1" x14ac:dyDescent="0.3">
      <c r="A7" s="252">
        <v>1206</v>
      </c>
      <c r="B7" s="256">
        <v>4227</v>
      </c>
      <c r="C7" s="264" t="s">
        <v>109</v>
      </c>
      <c r="D7" s="266">
        <v>212500</v>
      </c>
      <c r="E7" s="253">
        <v>0</v>
      </c>
      <c r="F7" s="253">
        <v>0</v>
      </c>
      <c r="G7" s="253">
        <v>0</v>
      </c>
      <c r="H7" s="253">
        <v>0</v>
      </c>
      <c r="I7" s="274">
        <f t="shared" ref="I7:I25" si="0">SUM(E7:H7)</f>
        <v>0</v>
      </c>
      <c r="J7" s="267">
        <v>0</v>
      </c>
      <c r="K7" s="246">
        <v>44197</v>
      </c>
      <c r="L7" s="247">
        <v>44409</v>
      </c>
      <c r="M7" s="248" t="s">
        <v>107</v>
      </c>
    </row>
    <row r="8" spans="1:16" x14ac:dyDescent="0.25">
      <c r="A8" s="252">
        <v>12087</v>
      </c>
      <c r="B8" s="257">
        <v>4159</v>
      </c>
      <c r="C8" s="264" t="s">
        <v>109</v>
      </c>
      <c r="D8" s="268">
        <v>0</v>
      </c>
      <c r="E8" s="254">
        <v>16650</v>
      </c>
      <c r="F8" s="254">
        <v>22500</v>
      </c>
      <c r="G8" s="254">
        <v>19800</v>
      </c>
      <c r="H8" s="254">
        <v>49500</v>
      </c>
      <c r="I8" s="274">
        <f>SUM(E8:H8)</f>
        <v>108450</v>
      </c>
      <c r="J8" s="269">
        <v>0</v>
      </c>
      <c r="K8" s="250"/>
      <c r="L8" s="251"/>
      <c r="M8" s="231"/>
    </row>
    <row r="9" spans="1:16" x14ac:dyDescent="0.25">
      <c r="A9" s="262">
        <v>11402</v>
      </c>
      <c r="B9" s="256">
        <v>4107</v>
      </c>
      <c r="C9" s="264" t="s">
        <v>113</v>
      </c>
      <c r="D9" s="268">
        <v>0</v>
      </c>
      <c r="E9" s="254">
        <v>0</v>
      </c>
      <c r="F9" s="254">
        <v>0</v>
      </c>
      <c r="G9" s="254">
        <v>0</v>
      </c>
      <c r="H9" s="254">
        <v>0</v>
      </c>
      <c r="I9" s="274">
        <f t="shared" si="0"/>
        <v>0</v>
      </c>
      <c r="J9" s="270">
        <v>8000000</v>
      </c>
      <c r="K9" s="250"/>
      <c r="L9" s="251"/>
      <c r="M9" s="229" t="s">
        <v>115</v>
      </c>
    </row>
    <row r="10" spans="1:16" x14ac:dyDescent="0.25">
      <c r="A10" s="279">
        <v>12227</v>
      </c>
      <c r="B10" s="280">
        <v>4385</v>
      </c>
      <c r="C10" s="264" t="s">
        <v>113</v>
      </c>
      <c r="D10" s="268">
        <v>800000</v>
      </c>
      <c r="E10" s="277">
        <v>0</v>
      </c>
      <c r="F10" s="277">
        <v>0</v>
      </c>
      <c r="G10" s="277">
        <v>0</v>
      </c>
      <c r="H10" s="277">
        <v>0</v>
      </c>
      <c r="I10" s="274">
        <f t="shared" si="0"/>
        <v>0</v>
      </c>
      <c r="J10" s="270">
        <v>0</v>
      </c>
      <c r="K10" s="250">
        <v>44228</v>
      </c>
      <c r="L10" s="251">
        <v>44470</v>
      </c>
      <c r="M10" s="278" t="s">
        <v>119</v>
      </c>
    </row>
    <row r="11" spans="1:16" x14ac:dyDescent="0.25">
      <c r="A11" s="252">
        <v>12260</v>
      </c>
      <c r="B11" s="257">
        <v>4327</v>
      </c>
      <c r="C11" s="264" t="s">
        <v>113</v>
      </c>
      <c r="D11" s="271">
        <v>0</v>
      </c>
      <c r="E11" s="254">
        <v>21000</v>
      </c>
      <c r="F11" s="254">
        <v>72000</v>
      </c>
      <c r="G11" s="254">
        <v>30000</v>
      </c>
      <c r="H11" s="254">
        <v>261000</v>
      </c>
      <c r="I11" s="274">
        <f>SUM(E11:H11)</f>
        <v>384000</v>
      </c>
      <c r="J11" s="270">
        <v>0</v>
      </c>
      <c r="K11" s="255">
        <v>44228</v>
      </c>
      <c r="L11" s="251">
        <v>44440</v>
      </c>
      <c r="M11" s="249" t="s">
        <v>114</v>
      </c>
    </row>
    <row r="12" spans="1:16" x14ac:dyDescent="0.25">
      <c r="A12" s="312">
        <v>12719</v>
      </c>
      <c r="B12" s="280">
        <v>4899</v>
      </c>
      <c r="C12" s="264" t="s">
        <v>113</v>
      </c>
      <c r="D12" s="268">
        <v>800000</v>
      </c>
      <c r="E12" s="254">
        <v>0</v>
      </c>
      <c r="F12" s="254">
        <v>0</v>
      </c>
      <c r="G12" s="254">
        <v>0</v>
      </c>
      <c r="H12" s="254">
        <v>0</v>
      </c>
      <c r="I12" s="254">
        <f t="shared" si="0"/>
        <v>0</v>
      </c>
      <c r="J12" s="269">
        <v>0</v>
      </c>
      <c r="K12" s="250">
        <v>44378</v>
      </c>
      <c r="L12" s="251">
        <v>44531</v>
      </c>
      <c r="M12" s="278" t="s">
        <v>147</v>
      </c>
    </row>
    <row r="13" spans="1:16" x14ac:dyDescent="0.25">
      <c r="A13" s="312">
        <v>13964</v>
      </c>
      <c r="B13" s="280">
        <v>4898</v>
      </c>
      <c r="C13" s="264" t="s">
        <v>113</v>
      </c>
      <c r="D13" s="336">
        <v>0</v>
      </c>
      <c r="E13" s="254">
        <v>0</v>
      </c>
      <c r="F13" s="254">
        <v>0</v>
      </c>
      <c r="G13" s="254">
        <v>0</v>
      </c>
      <c r="H13" s="337">
        <v>0</v>
      </c>
      <c r="I13" s="254">
        <f t="shared" si="0"/>
        <v>0</v>
      </c>
      <c r="J13" s="269">
        <v>9000000</v>
      </c>
      <c r="K13" s="250">
        <v>44378</v>
      </c>
      <c r="L13" s="251">
        <v>44531</v>
      </c>
      <c r="M13" s="338" t="s">
        <v>121</v>
      </c>
    </row>
    <row r="14" spans="1:16" x14ac:dyDescent="0.25">
      <c r="A14" s="312">
        <v>13965</v>
      </c>
      <c r="B14" s="280">
        <v>4897</v>
      </c>
      <c r="C14" s="264" t="s">
        <v>113</v>
      </c>
      <c r="D14" s="268">
        <v>0</v>
      </c>
      <c r="E14" s="254">
        <v>78000</v>
      </c>
      <c r="F14" s="254">
        <v>120000</v>
      </c>
      <c r="G14" s="254">
        <v>75000</v>
      </c>
      <c r="H14" s="254">
        <v>180000</v>
      </c>
      <c r="I14" s="274">
        <f t="shared" si="0"/>
        <v>453000</v>
      </c>
      <c r="J14" s="269">
        <v>0</v>
      </c>
      <c r="K14" s="250">
        <v>44378</v>
      </c>
      <c r="L14" s="251">
        <v>44531</v>
      </c>
      <c r="M14" s="278" t="s">
        <v>122</v>
      </c>
    </row>
    <row r="15" spans="1:16" s="124" customFormat="1" x14ac:dyDescent="0.25">
      <c r="A15" s="312">
        <v>15627</v>
      </c>
      <c r="B15" s="313"/>
      <c r="C15" s="314" t="s">
        <v>113</v>
      </c>
      <c r="D15" s="309">
        <v>0</v>
      </c>
      <c r="E15" s="315">
        <v>81000</v>
      </c>
      <c r="F15" s="315">
        <v>126000</v>
      </c>
      <c r="G15" s="315">
        <v>102000</v>
      </c>
      <c r="H15" s="315">
        <v>126000</v>
      </c>
      <c r="I15" s="315">
        <f t="shared" si="0"/>
        <v>435000</v>
      </c>
      <c r="J15" s="316">
        <v>0</v>
      </c>
      <c r="K15" s="317">
        <v>44470</v>
      </c>
      <c r="L15" s="318">
        <v>44621</v>
      </c>
      <c r="M15" s="319" t="s">
        <v>146</v>
      </c>
      <c r="P15" s="124">
        <f>425000/25</f>
        <v>17000</v>
      </c>
    </row>
    <row r="16" spans="1:16" s="124" customFormat="1" x14ac:dyDescent="0.25">
      <c r="A16" s="312">
        <v>15628</v>
      </c>
      <c r="B16" s="313"/>
      <c r="C16" s="314" t="s">
        <v>113</v>
      </c>
      <c r="D16" s="309">
        <v>900000</v>
      </c>
      <c r="E16" s="315">
        <v>0</v>
      </c>
      <c r="F16" s="315">
        <v>0</v>
      </c>
      <c r="G16" s="315">
        <v>0</v>
      </c>
      <c r="H16" s="315">
        <v>0</v>
      </c>
      <c r="I16" s="315">
        <f t="shared" si="0"/>
        <v>0</v>
      </c>
      <c r="J16" s="316">
        <v>0</v>
      </c>
      <c r="K16" s="317">
        <v>44470</v>
      </c>
      <c r="L16" s="318">
        <v>44621</v>
      </c>
      <c r="M16" s="320" t="s">
        <v>148</v>
      </c>
    </row>
    <row r="17" spans="1:16" s="6" customFormat="1" x14ac:dyDescent="0.25">
      <c r="A17" s="312">
        <v>15629</v>
      </c>
      <c r="B17" s="313"/>
      <c r="C17" s="314" t="s">
        <v>113</v>
      </c>
      <c r="D17" s="309">
        <v>840000</v>
      </c>
      <c r="E17" s="315">
        <v>0</v>
      </c>
      <c r="F17" s="315">
        <v>0</v>
      </c>
      <c r="G17" s="315">
        <v>0</v>
      </c>
      <c r="H17" s="315">
        <v>0</v>
      </c>
      <c r="I17" s="315">
        <f t="shared" si="0"/>
        <v>0</v>
      </c>
      <c r="J17" s="316">
        <v>0</v>
      </c>
      <c r="K17" s="317">
        <v>44470</v>
      </c>
      <c r="L17" s="318">
        <v>44743</v>
      </c>
      <c r="M17" s="319" t="s">
        <v>150</v>
      </c>
    </row>
    <row r="18" spans="1:16" s="321" customFormat="1" x14ac:dyDescent="0.25">
      <c r="A18" s="322">
        <v>15784</v>
      </c>
      <c r="B18" s="323"/>
      <c r="C18" s="324" t="s">
        <v>113</v>
      </c>
      <c r="D18" s="325">
        <v>0</v>
      </c>
      <c r="E18" s="326">
        <v>72000</v>
      </c>
      <c r="F18" s="326">
        <v>138000</v>
      </c>
      <c r="G18" s="326">
        <v>78000</v>
      </c>
      <c r="H18" s="326">
        <v>141000</v>
      </c>
      <c r="I18" s="326">
        <f t="shared" si="0"/>
        <v>429000</v>
      </c>
      <c r="J18" s="327">
        <v>0</v>
      </c>
      <c r="K18" s="328">
        <v>44470</v>
      </c>
      <c r="L18" s="329">
        <v>44743</v>
      </c>
      <c r="M18" s="330" t="s">
        <v>152</v>
      </c>
    </row>
    <row r="19" spans="1:16" s="321" customFormat="1" x14ac:dyDescent="0.25">
      <c r="A19" s="322"/>
      <c r="B19" s="323"/>
      <c r="C19" s="324"/>
      <c r="D19" s="325"/>
      <c r="E19" s="331">
        <v>72000</v>
      </c>
      <c r="F19" s="331">
        <v>137700</v>
      </c>
      <c r="G19" s="331">
        <v>77190</v>
      </c>
      <c r="H19" s="331">
        <v>140730</v>
      </c>
      <c r="I19" s="331">
        <f t="shared" si="0"/>
        <v>427620</v>
      </c>
      <c r="J19" s="332"/>
      <c r="K19" s="333" t="s">
        <v>153</v>
      </c>
      <c r="L19" s="334"/>
      <c r="M19" s="335"/>
    </row>
    <row r="20" spans="1:16" x14ac:dyDescent="0.25">
      <c r="A20" s="384">
        <v>15789</v>
      </c>
      <c r="B20" s="385">
        <v>6557</v>
      </c>
      <c r="C20" s="386" t="s">
        <v>113</v>
      </c>
      <c r="D20" s="387">
        <v>900000</v>
      </c>
      <c r="E20" s="388">
        <v>0</v>
      </c>
      <c r="F20" s="388">
        <v>0</v>
      </c>
      <c r="G20" s="388">
        <v>0</v>
      </c>
      <c r="H20" s="388">
        <v>0</v>
      </c>
      <c r="I20" s="388">
        <f t="shared" si="0"/>
        <v>0</v>
      </c>
      <c r="J20" s="389">
        <v>0</v>
      </c>
      <c r="K20" s="390">
        <v>44621</v>
      </c>
      <c r="L20" s="391">
        <v>44835</v>
      </c>
      <c r="M20" s="392" t="s">
        <v>160</v>
      </c>
    </row>
    <row r="21" spans="1:16" x14ac:dyDescent="0.25">
      <c r="A21" s="374">
        <v>17800</v>
      </c>
      <c r="B21" s="375">
        <v>6478</v>
      </c>
      <c r="C21" s="376" t="s">
        <v>113</v>
      </c>
      <c r="D21" s="377">
        <v>0</v>
      </c>
      <c r="E21" s="378">
        <v>13200</v>
      </c>
      <c r="F21" s="378">
        <v>99000</v>
      </c>
      <c r="G21" s="378">
        <v>51000</v>
      </c>
      <c r="H21" s="378">
        <v>159000</v>
      </c>
      <c r="I21" s="378">
        <f t="shared" si="0"/>
        <v>322200</v>
      </c>
      <c r="J21" s="379">
        <v>0</v>
      </c>
      <c r="K21" s="380">
        <v>44621</v>
      </c>
      <c r="L21" s="381">
        <v>44835</v>
      </c>
      <c r="M21" s="382" t="s">
        <v>157</v>
      </c>
    </row>
    <row r="22" spans="1:16" x14ac:dyDescent="0.25">
      <c r="A22" s="374">
        <v>17800</v>
      </c>
      <c r="B22" s="375">
        <v>6478</v>
      </c>
      <c r="C22" s="376" t="s">
        <v>113</v>
      </c>
      <c r="D22" s="377">
        <v>0</v>
      </c>
      <c r="E22" s="378">
        <v>0</v>
      </c>
      <c r="F22" s="378">
        <v>0</v>
      </c>
      <c r="G22" s="378">
        <v>0</v>
      </c>
      <c r="H22" s="378">
        <v>0</v>
      </c>
      <c r="I22" s="378">
        <f t="shared" si="0"/>
        <v>0</v>
      </c>
      <c r="J22" s="379">
        <v>7500000</v>
      </c>
      <c r="K22" s="380">
        <v>44621</v>
      </c>
      <c r="L22" s="381">
        <v>44835</v>
      </c>
      <c r="M22" s="382" t="s">
        <v>158</v>
      </c>
    </row>
    <row r="23" spans="1:16" x14ac:dyDescent="0.25">
      <c r="A23" s="384">
        <v>17802</v>
      </c>
      <c r="B23" s="385"/>
      <c r="C23" s="386" t="s">
        <v>113</v>
      </c>
      <c r="D23" s="387" t="s">
        <v>155</v>
      </c>
      <c r="E23" s="388">
        <v>0</v>
      </c>
      <c r="F23" s="388">
        <v>0</v>
      </c>
      <c r="G23" s="388">
        <v>0</v>
      </c>
      <c r="H23" s="388">
        <v>0</v>
      </c>
      <c r="I23" s="388">
        <f t="shared" si="0"/>
        <v>0</v>
      </c>
      <c r="J23" s="389">
        <v>900000</v>
      </c>
      <c r="K23" s="390">
        <v>44682</v>
      </c>
      <c r="L23" s="391">
        <v>44927</v>
      </c>
      <c r="M23" s="417" t="s">
        <v>162</v>
      </c>
    </row>
    <row r="24" spans="1:16" x14ac:dyDescent="0.25">
      <c r="A24" s="384">
        <v>18464</v>
      </c>
      <c r="B24" s="385"/>
      <c r="C24" s="386" t="s">
        <v>113</v>
      </c>
      <c r="D24" s="387"/>
      <c r="E24" s="388">
        <v>72000</v>
      </c>
      <c r="F24" s="388">
        <v>90000</v>
      </c>
      <c r="G24" s="388">
        <v>39000</v>
      </c>
      <c r="H24" s="388">
        <v>198000</v>
      </c>
      <c r="I24" s="388">
        <f t="shared" si="0"/>
        <v>399000</v>
      </c>
      <c r="J24" s="389"/>
      <c r="K24" s="390">
        <v>44682</v>
      </c>
      <c r="L24" s="391">
        <v>44969</v>
      </c>
      <c r="M24" s="417" t="s">
        <v>163</v>
      </c>
    </row>
    <row r="25" spans="1:16" x14ac:dyDescent="0.25">
      <c r="A25" s="384">
        <v>20156</v>
      </c>
      <c r="B25" s="385">
        <v>7313</v>
      </c>
      <c r="C25" s="386" t="s">
        <v>113</v>
      </c>
      <c r="D25" s="387"/>
      <c r="E25" s="388">
        <v>147000</v>
      </c>
      <c r="F25" s="388">
        <v>262800</v>
      </c>
      <c r="G25" s="388">
        <v>206100</v>
      </c>
      <c r="H25" s="388">
        <v>578400</v>
      </c>
      <c r="I25" s="388">
        <f t="shared" si="0"/>
        <v>1194300</v>
      </c>
      <c r="J25" s="389"/>
      <c r="K25" s="390">
        <v>44853</v>
      </c>
      <c r="L25" s="390">
        <v>45077</v>
      </c>
      <c r="M25" s="417" t="s">
        <v>166</v>
      </c>
    </row>
    <row r="26" spans="1:16" x14ac:dyDescent="0.25">
      <c r="A26" s="384">
        <v>20040</v>
      </c>
      <c r="B26" s="385">
        <v>7341</v>
      </c>
      <c r="C26" s="386" t="s">
        <v>113</v>
      </c>
      <c r="D26" s="387">
        <v>1218750</v>
      </c>
      <c r="E26" s="388"/>
      <c r="F26" s="388"/>
      <c r="G26" s="388"/>
      <c r="H26" s="388"/>
      <c r="I26" s="388"/>
      <c r="J26" s="389"/>
      <c r="K26" s="390">
        <v>44853</v>
      </c>
      <c r="L26" s="390">
        <v>45047</v>
      </c>
      <c r="M26" s="417" t="s">
        <v>166</v>
      </c>
    </row>
    <row r="27" spans="1:16" ht="14.25" customHeight="1" x14ac:dyDescent="0.25">
      <c r="A27" s="384">
        <v>23273</v>
      </c>
      <c r="B27" s="635">
        <v>9747</v>
      </c>
      <c r="C27" s="386" t="s">
        <v>113</v>
      </c>
      <c r="D27" s="387"/>
      <c r="E27" s="388">
        <v>0</v>
      </c>
      <c r="F27" s="388">
        <v>120000</v>
      </c>
      <c r="G27" s="388">
        <v>108000</v>
      </c>
      <c r="H27" s="388">
        <v>522000</v>
      </c>
      <c r="I27" s="388">
        <f>SUM(E27:H27)</f>
        <v>750000</v>
      </c>
      <c r="J27" s="389"/>
      <c r="K27" s="390">
        <v>45253</v>
      </c>
      <c r="L27" s="390">
        <v>45473</v>
      </c>
      <c r="M27" s="636" t="s">
        <v>191</v>
      </c>
    </row>
    <row r="28" spans="1:16" ht="14.25" customHeight="1" x14ac:dyDescent="0.25">
      <c r="A28" s="384">
        <v>24360</v>
      </c>
      <c r="B28" s="635">
        <v>9017</v>
      </c>
      <c r="C28" s="386" t="s">
        <v>113</v>
      </c>
      <c r="D28" s="387">
        <v>750000</v>
      </c>
      <c r="E28" s="388">
        <v>0</v>
      </c>
      <c r="F28" s="388">
        <v>0</v>
      </c>
      <c r="G28" s="388">
        <v>0</v>
      </c>
      <c r="H28" s="388">
        <v>0</v>
      </c>
      <c r="I28" s="388">
        <v>0</v>
      </c>
      <c r="J28" s="389">
        <v>0</v>
      </c>
      <c r="K28" s="390">
        <v>45280</v>
      </c>
      <c r="L28" s="390">
        <v>45535</v>
      </c>
      <c r="M28" s="636" t="s">
        <v>192</v>
      </c>
    </row>
    <row r="29" spans="1:16" ht="14.25" customHeight="1" x14ac:dyDescent="0.25">
      <c r="A29" s="654">
        <v>24591</v>
      </c>
      <c r="B29" s="655">
        <v>9370</v>
      </c>
      <c r="C29" s="656" t="s">
        <v>113</v>
      </c>
      <c r="D29" s="657"/>
      <c r="E29" s="658">
        <v>33300</v>
      </c>
      <c r="F29" s="658">
        <v>45000</v>
      </c>
      <c r="G29" s="658">
        <v>39600</v>
      </c>
      <c r="H29" s="658">
        <v>99000</v>
      </c>
      <c r="I29" s="658">
        <f t="shared" ref="I29:I35" si="1">SUM(E29:H29)</f>
        <v>216900</v>
      </c>
      <c r="J29" s="659"/>
      <c r="K29" s="660">
        <v>45391</v>
      </c>
      <c r="L29" s="660">
        <v>45565</v>
      </c>
      <c r="M29" s="661" t="s">
        <v>247</v>
      </c>
      <c r="O29" s="295">
        <f>E29+F29+G29+H29</f>
        <v>216900</v>
      </c>
      <c r="P29" s="295">
        <f>D28/25</f>
        <v>30000</v>
      </c>
    </row>
    <row r="30" spans="1:16" ht="14.25" customHeight="1" x14ac:dyDescent="0.25">
      <c r="A30" s="384">
        <v>25442</v>
      </c>
      <c r="B30" s="637">
        <v>9411</v>
      </c>
      <c r="C30" s="386" t="s">
        <v>113</v>
      </c>
      <c r="D30" s="387"/>
      <c r="E30" s="388">
        <v>30000</v>
      </c>
      <c r="F30" s="388">
        <v>171000</v>
      </c>
      <c r="G30" s="388">
        <v>33000</v>
      </c>
      <c r="H30" s="388">
        <v>282000</v>
      </c>
      <c r="I30" s="388">
        <f t="shared" si="1"/>
        <v>516000</v>
      </c>
      <c r="J30" s="389"/>
      <c r="K30" s="390">
        <v>45398</v>
      </c>
      <c r="L30" s="390">
        <v>45565</v>
      </c>
      <c r="M30" s="636" t="s">
        <v>192</v>
      </c>
      <c r="O30" s="295">
        <f>O29/30</f>
        <v>7230</v>
      </c>
    </row>
    <row r="31" spans="1:16" ht="14.25" customHeight="1" x14ac:dyDescent="0.25">
      <c r="A31" s="384">
        <v>25441</v>
      </c>
      <c r="B31" s="637">
        <v>9540</v>
      </c>
      <c r="C31" s="386" t="s">
        <v>113</v>
      </c>
      <c r="D31" s="387">
        <v>425000</v>
      </c>
      <c r="E31" s="388">
        <v>0</v>
      </c>
      <c r="F31" s="388">
        <v>0</v>
      </c>
      <c r="G31" s="388">
        <v>0</v>
      </c>
      <c r="H31" s="388">
        <v>0</v>
      </c>
      <c r="I31" s="388">
        <f t="shared" si="1"/>
        <v>0</v>
      </c>
      <c r="J31" s="389"/>
      <c r="K31" s="390">
        <v>45499</v>
      </c>
      <c r="L31" s="390">
        <v>45626</v>
      </c>
      <c r="M31" s="636" t="s">
        <v>246</v>
      </c>
    </row>
    <row r="32" spans="1:16" ht="14.25" customHeight="1" x14ac:dyDescent="0.25">
      <c r="A32" s="384"/>
      <c r="B32" s="637"/>
      <c r="C32" s="386" t="s">
        <v>113</v>
      </c>
      <c r="D32" s="387"/>
      <c r="E32" s="388">
        <v>102000</v>
      </c>
      <c r="F32" s="388">
        <v>330000</v>
      </c>
      <c r="G32" s="388">
        <v>120000</v>
      </c>
      <c r="H32" s="388">
        <v>381000</v>
      </c>
      <c r="I32" s="388">
        <f t="shared" si="1"/>
        <v>933000</v>
      </c>
      <c r="J32" s="389"/>
      <c r="K32" s="390"/>
      <c r="L32" s="390">
        <v>45627</v>
      </c>
      <c r="M32" s="636" t="s">
        <v>243</v>
      </c>
      <c r="O32" s="295">
        <f>I27/30</f>
        <v>25000</v>
      </c>
    </row>
    <row r="33" spans="1:15" ht="14.25" customHeight="1" x14ac:dyDescent="0.25">
      <c r="A33" s="384">
        <v>11502</v>
      </c>
      <c r="B33" s="637"/>
      <c r="C33" s="386" t="s">
        <v>113</v>
      </c>
      <c r="D33" s="387"/>
      <c r="E33" s="388">
        <f>9825*30</f>
        <v>294750</v>
      </c>
      <c r="F33" s="388">
        <f>13658*30</f>
        <v>409740</v>
      </c>
      <c r="G33" s="388">
        <f>7796*30</f>
        <v>233880</v>
      </c>
      <c r="H33" s="388">
        <f>20047*30</f>
        <v>601410</v>
      </c>
      <c r="I33" s="388">
        <f t="shared" si="1"/>
        <v>1539780</v>
      </c>
      <c r="J33" s="389"/>
      <c r="K33" s="390" t="s">
        <v>373</v>
      </c>
      <c r="L33" s="390"/>
      <c r="M33" s="636"/>
      <c r="N33" s="295">
        <f>E33+F33*2+G33*3+H33*4</f>
        <v>4221510</v>
      </c>
      <c r="O33" s="799">
        <f>N33/O35</f>
        <v>7.4497235294117656</v>
      </c>
    </row>
    <row r="34" spans="1:15" ht="14.25" customHeight="1" x14ac:dyDescent="0.25">
      <c r="A34" s="384">
        <v>28228</v>
      </c>
      <c r="B34" s="637"/>
      <c r="C34" s="386" t="s">
        <v>113</v>
      </c>
      <c r="D34" s="387">
        <f>80000*25</f>
        <v>2000000</v>
      </c>
      <c r="E34" s="388"/>
      <c r="F34" s="388"/>
      <c r="G34" s="388"/>
      <c r="H34" s="388"/>
      <c r="I34" s="388">
        <f t="shared" si="1"/>
        <v>0</v>
      </c>
      <c r="J34" s="389"/>
      <c r="K34" s="390" t="s">
        <v>373</v>
      </c>
      <c r="L34" s="390"/>
      <c r="M34" s="636"/>
      <c r="N34" s="664">
        <f>D34/333333</f>
        <v>6.0000060000059996</v>
      </c>
      <c r="O34" s="295"/>
    </row>
    <row r="35" spans="1:15" ht="14.25" customHeight="1" x14ac:dyDescent="0.25">
      <c r="A35" s="384"/>
      <c r="B35" s="637"/>
      <c r="C35" s="386" t="s">
        <v>113</v>
      </c>
      <c r="D35" s="387"/>
      <c r="E35" s="388"/>
      <c r="F35" s="388"/>
      <c r="G35" s="388"/>
      <c r="H35" s="388"/>
      <c r="I35" s="388">
        <f t="shared" si="1"/>
        <v>0</v>
      </c>
      <c r="J35" s="389"/>
      <c r="K35" s="390"/>
      <c r="L35" s="390"/>
      <c r="M35" s="636"/>
      <c r="O35" s="295">
        <v>566666.66666666663</v>
      </c>
    </row>
    <row r="36" spans="1:15" ht="15.75" thickBot="1" x14ac:dyDescent="0.3">
      <c r="A36" s="226"/>
      <c r="B36" s="258"/>
      <c r="C36" s="265" t="s">
        <v>18</v>
      </c>
      <c r="D36" s="610"/>
      <c r="E36" s="106">
        <v>0.32</v>
      </c>
      <c r="F36" s="106">
        <v>0.51</v>
      </c>
      <c r="G36" s="106">
        <v>0.7</v>
      </c>
      <c r="H36" s="44">
        <v>0.94</v>
      </c>
      <c r="I36" s="275"/>
      <c r="J36" s="272"/>
      <c r="K36" s="105"/>
      <c r="L36" s="45"/>
      <c r="M36" s="230"/>
    </row>
    <row r="37" spans="1:15" x14ac:dyDescent="0.25">
      <c r="B37" s="244"/>
      <c r="K37" s="609"/>
    </row>
    <row r="38" spans="1:15" ht="15.75" x14ac:dyDescent="0.25">
      <c r="B38" s="244" t="s">
        <v>245</v>
      </c>
      <c r="C38" s="639"/>
      <c r="D38" s="640" t="s">
        <v>118</v>
      </c>
      <c r="E38" s="641" t="s">
        <v>99</v>
      </c>
      <c r="F38" s="642"/>
      <c r="G38" s="642"/>
      <c r="H38" s="642"/>
      <c r="I38" s="641" t="s">
        <v>117</v>
      </c>
      <c r="J38" s="641" t="s">
        <v>33</v>
      </c>
      <c r="L38">
        <f>3600*30</f>
        <v>108000</v>
      </c>
      <c r="M38">
        <f>11000*30</f>
        <v>330000</v>
      </c>
    </row>
    <row r="39" spans="1:15" ht="15.75" x14ac:dyDescent="0.25">
      <c r="C39" s="643"/>
      <c r="D39" s="644">
        <f>D28/'ACT-RDT-PQ BY AMS'!T17</f>
        <v>2.25</v>
      </c>
      <c r="E39" s="974">
        <f>(E27)+(F27*2)+(G27*3)+(H27*4)</f>
        <v>2652000</v>
      </c>
      <c r="F39" s="975"/>
      <c r="G39" s="975"/>
      <c r="H39" s="976"/>
      <c r="I39" s="641">
        <f>E39/'ACT-RDT-PQ BY AMS'!AA17</f>
        <v>4.6800000000000006</v>
      </c>
      <c r="J39" s="645">
        <f>J23/'ACT-RDT-PQ BY AMS'!Z17</f>
        <v>0.6467065868263473</v>
      </c>
    </row>
    <row r="40" spans="1:15" ht="23.25" customHeight="1" x14ac:dyDescent="0.25">
      <c r="A40" s="259" t="s">
        <v>244</v>
      </c>
      <c r="B40" s="276"/>
      <c r="C40" s="643"/>
      <c r="D40" s="644">
        <f>D26/'ACT-RDT-PQ BY AMS'!T17</f>
        <v>3.65625</v>
      </c>
      <c r="E40" s="974">
        <f>(E29)+(F29*2)+(G29*3)+(H29*4)</f>
        <v>638100</v>
      </c>
      <c r="F40" s="975"/>
      <c r="G40" s="975"/>
      <c r="H40" s="976"/>
      <c r="I40" s="641">
        <f>E40/'ACT-RDT-PQ BY AMS'!AA17</f>
        <v>1.1260588235294118</v>
      </c>
      <c r="J40" s="641"/>
      <c r="M40" s="18">
        <f>333333*4</f>
        <v>1333332</v>
      </c>
    </row>
    <row r="41" spans="1:15" ht="15.75" x14ac:dyDescent="0.25">
      <c r="A41" s="742">
        <f>D28+D31</f>
        <v>1175000</v>
      </c>
      <c r="C41" s="639"/>
      <c r="D41" s="646">
        <f>D20/'ACT-RDT-PQ BY AMS'!T17</f>
        <v>2.7</v>
      </c>
      <c r="E41" s="969">
        <f>E30+(F30*2)+(G30*3)+(H30*4)</f>
        <v>1599000</v>
      </c>
      <c r="F41" s="970"/>
      <c r="G41" s="970"/>
      <c r="H41" s="971"/>
      <c r="I41" s="641">
        <f>E41/'ACT-RDT-PQ BY AMS'!AA17</f>
        <v>2.821764705882353</v>
      </c>
      <c r="J41" s="647"/>
      <c r="M41" s="18">
        <f>M40/25</f>
        <v>53333.279999999999</v>
      </c>
    </row>
    <row r="42" spans="1:15" ht="15.75" x14ac:dyDescent="0.25">
      <c r="A42" s="742">
        <f>A41/25</f>
        <v>47000</v>
      </c>
      <c r="B42" s="743">
        <f>A42*9</f>
        <v>423000</v>
      </c>
      <c r="C42" s="639"/>
      <c r="D42" s="648">
        <f>D25/'ACT-RDT-PQ BY AMS'!T17</f>
        <v>0</v>
      </c>
      <c r="E42" s="966">
        <f>E32+(F32*2)+(G32*3)+(H32*4)</f>
        <v>2646000</v>
      </c>
      <c r="F42" s="967"/>
      <c r="G42" s="967"/>
      <c r="H42" s="968"/>
      <c r="I42" s="645">
        <f>E42/'ACT-RDT-PQ BY AMS'!AA17</f>
        <v>4.6694117647058828</v>
      </c>
      <c r="J42" s="647"/>
      <c r="M42" s="18">
        <v>54000</v>
      </c>
    </row>
    <row r="43" spans="1:15" ht="15.75" x14ac:dyDescent="0.25">
      <c r="C43" s="639"/>
      <c r="D43" s="662">
        <f>D31/333333</f>
        <v>1.2750012750012749</v>
      </c>
      <c r="E43" s="8"/>
      <c r="F43" s="8"/>
      <c r="G43" s="649" t="s">
        <v>175</v>
      </c>
      <c r="H43" s="649"/>
      <c r="I43" s="650">
        <f>SUM(I39:I42)</f>
        <v>13.297235294117648</v>
      </c>
      <c r="J43" s="651"/>
      <c r="M43" s="295">
        <f>M42*25</f>
        <v>1350000</v>
      </c>
    </row>
    <row r="44" spans="1:15" ht="15.75" x14ac:dyDescent="0.25">
      <c r="C44" s="744">
        <f>D28/25</f>
        <v>30000</v>
      </c>
      <c r="D44" s="8"/>
      <c r="E44" s="8"/>
      <c r="F44" s="8"/>
      <c r="G44" s="8"/>
      <c r="H44" s="649"/>
      <c r="I44" s="650"/>
      <c r="J44" s="647"/>
    </row>
    <row r="45" spans="1:15" x14ac:dyDescent="0.25">
      <c r="C45" s="742">
        <f>D31/25</f>
        <v>17000</v>
      </c>
      <c r="J45" s="383"/>
    </row>
    <row r="46" spans="1:15" x14ac:dyDescent="0.25">
      <c r="C46" s="742">
        <f>SUM(C44:C45)</f>
        <v>47000</v>
      </c>
    </row>
  </sheetData>
  <mergeCells count="16">
    <mergeCell ref="E42:H42"/>
    <mergeCell ref="E41:H41"/>
    <mergeCell ref="A5:A6"/>
    <mergeCell ref="E39:H39"/>
    <mergeCell ref="E40:H40"/>
    <mergeCell ref="M5:M6"/>
    <mergeCell ref="B2:M2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56" type="noConversion"/>
  <conditionalFormatting sqref="E36:G36">
    <cfRule type="expression" dxfId="0" priority="1">
      <formula>ISERROR(E36)</formula>
    </cfRule>
  </conditionalFormatting>
  <dataValidations count="1">
    <dataValidation type="decimal" operator="greaterThan" allowBlank="1" showInputMessage="1" showErrorMessage="1" sqref="E36:G36">
      <formula1>-1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29"/>
  <sheetViews>
    <sheetView zoomScale="93" zoomScaleNormal="98" zoomScaleSheetLayoutView="172" workbookViewId="0">
      <selection activeCell="E102" sqref="E102"/>
    </sheetView>
  </sheetViews>
  <sheetFormatPr defaultColWidth="9.140625" defaultRowHeight="15" x14ac:dyDescent="0.25"/>
  <cols>
    <col min="1" max="1" width="10.28515625" style="259" customWidth="1"/>
    <col min="2" max="2" width="12.140625" style="241" customWidth="1"/>
    <col min="3" max="3" width="16.7109375" style="403" bestFit="1" customWidth="1"/>
    <col min="4" max="4" width="10.5703125" style="403" customWidth="1"/>
    <col min="5" max="5" width="10.85546875" style="295" customWidth="1"/>
    <col min="6" max="6" width="9.42578125" style="607" customWidth="1"/>
    <col min="7" max="7" width="10.28515625" customWidth="1"/>
    <col min="8" max="8" width="9.42578125" customWidth="1"/>
    <col min="9" max="9" width="11.5703125" style="242" customWidth="1"/>
    <col min="10" max="10" width="11.28515625" style="292" customWidth="1"/>
    <col min="11" max="11" width="11.85546875" style="124" customWidth="1"/>
    <col min="12" max="13" width="11.140625" style="296" customWidth="1"/>
    <col min="14" max="14" width="11.28515625" style="296" customWidth="1"/>
    <col min="15" max="15" width="10.7109375" style="296" customWidth="1"/>
    <col min="16" max="16" width="16.5703125" style="296" bestFit="1" customWidth="1"/>
    <col min="17" max="17" width="11.140625" style="296" customWidth="1"/>
    <col min="18" max="18" width="11.5703125" style="296" customWidth="1"/>
    <col min="19" max="19" width="9.85546875" style="296" customWidth="1"/>
    <col min="20" max="20" width="8.5703125" style="296" customWidth="1"/>
    <col min="21" max="21" width="2.140625" style="124" customWidth="1"/>
    <col min="22" max="22" width="10.85546875" style="295" customWidth="1"/>
    <col min="23" max="24" width="10.140625" customWidth="1"/>
    <col min="25" max="25" width="8.7109375" customWidth="1"/>
    <col min="26" max="26" width="12.140625" style="242" customWidth="1"/>
    <col min="27" max="27" width="10.85546875" style="292" customWidth="1"/>
    <col min="28" max="28" width="11.85546875" style="124" customWidth="1"/>
    <col min="29" max="29" width="10.85546875" style="296" customWidth="1"/>
    <col min="30" max="30" width="11.140625" style="296" customWidth="1"/>
    <col min="31" max="31" width="11.28515625" style="296" customWidth="1"/>
    <col min="32" max="32" width="11" style="296" customWidth="1"/>
    <col min="33" max="33" width="10" style="296" customWidth="1"/>
    <col min="34" max="34" width="10.140625" style="296" customWidth="1"/>
    <col min="35" max="35" width="11.42578125" style="296" customWidth="1"/>
    <col min="36" max="36" width="10.85546875" style="296" customWidth="1"/>
    <col min="37" max="37" width="8.5703125" style="296" customWidth="1"/>
    <col min="38" max="38" width="10" customWidth="1"/>
    <col min="39" max="39" width="12.5703125" style="124" customWidth="1"/>
    <col min="40" max="40" width="102.42578125" bestFit="1" customWidth="1"/>
    <col min="41" max="41" width="11.28515625" customWidth="1"/>
    <col min="45" max="45" width="36.7109375" customWidth="1"/>
  </cols>
  <sheetData>
    <row r="1" spans="1:40" ht="21.75" thickBot="1" x14ac:dyDescent="0.4">
      <c r="A1" s="304"/>
      <c r="B1" s="304"/>
      <c r="C1" s="393"/>
      <c r="D1" s="393"/>
      <c r="E1" s="598"/>
      <c r="F1" s="599"/>
      <c r="G1" s="599"/>
      <c r="H1" s="599"/>
      <c r="I1" s="599"/>
      <c r="J1" s="631"/>
      <c r="K1" s="599"/>
      <c r="L1" s="599"/>
      <c r="M1" s="599"/>
      <c r="N1" s="599"/>
      <c r="O1" s="599"/>
      <c r="P1" s="599"/>
      <c r="Q1" s="599"/>
      <c r="R1" s="599"/>
      <c r="S1" s="599"/>
      <c r="T1" s="599"/>
      <c r="U1" s="293"/>
      <c r="V1" s="1011" t="s">
        <v>149</v>
      </c>
      <c r="W1" s="1012"/>
      <c r="X1" s="1012"/>
      <c r="Y1" s="1012"/>
      <c r="Z1" s="1012"/>
      <c r="AA1" s="1012"/>
      <c r="AB1" s="1012"/>
      <c r="AC1" s="1012"/>
      <c r="AD1" s="1012"/>
      <c r="AE1" s="1012"/>
      <c r="AF1" s="1012"/>
      <c r="AG1" s="1012"/>
      <c r="AH1" s="1012"/>
      <c r="AI1" s="1012"/>
      <c r="AJ1" s="1012"/>
      <c r="AK1" s="1012"/>
      <c r="AL1" s="589"/>
      <c r="AM1" s="590"/>
      <c r="AN1" s="589"/>
    </row>
    <row r="2" spans="1:40" ht="21.75" customHeight="1" thickBot="1" x14ac:dyDescent="0.4">
      <c r="A2" s="305"/>
      <c r="B2" s="306"/>
      <c r="C2" s="394"/>
      <c r="D2" s="394"/>
      <c r="E2" s="1003" t="s">
        <v>85</v>
      </c>
      <c r="F2" s="1004"/>
      <c r="G2" s="1004"/>
      <c r="H2" s="1004"/>
      <c r="I2" s="1004"/>
      <c r="J2" s="1004"/>
      <c r="K2" s="1005"/>
      <c r="L2" s="987" t="s">
        <v>139</v>
      </c>
      <c r="M2" s="988"/>
      <c r="N2" s="988"/>
      <c r="O2" s="988"/>
      <c r="P2" s="988"/>
      <c r="Q2" s="988"/>
      <c r="R2" s="988"/>
      <c r="S2" s="988"/>
      <c r="T2" s="988"/>
      <c r="U2" s="293"/>
      <c r="V2" s="1021" t="s">
        <v>85</v>
      </c>
      <c r="W2" s="1022"/>
      <c r="X2" s="1022"/>
      <c r="Y2" s="1022"/>
      <c r="Z2" s="1022"/>
      <c r="AA2" s="1022"/>
      <c r="AB2" s="1023"/>
      <c r="AC2" s="993" t="s">
        <v>139</v>
      </c>
      <c r="AD2" s="994"/>
      <c r="AE2" s="994"/>
      <c r="AF2" s="994"/>
      <c r="AG2" s="994"/>
      <c r="AH2" s="994"/>
      <c r="AI2" s="994"/>
      <c r="AJ2" s="994"/>
      <c r="AK2" s="994"/>
      <c r="AL2" s="581"/>
      <c r="AM2" s="582"/>
      <c r="AN2" s="581"/>
    </row>
    <row r="3" spans="1:40" ht="15" customHeight="1" thickBot="1" x14ac:dyDescent="0.4">
      <c r="A3" s="307"/>
      <c r="B3" s="308"/>
      <c r="C3" s="395"/>
      <c r="D3" s="395"/>
      <c r="E3" s="1006"/>
      <c r="F3" s="1007"/>
      <c r="G3" s="1007"/>
      <c r="H3" s="1007"/>
      <c r="I3" s="1007"/>
      <c r="J3" s="1007"/>
      <c r="K3" s="1008"/>
      <c r="L3" s="989"/>
      <c r="M3" s="990"/>
      <c r="N3" s="990"/>
      <c r="O3" s="990"/>
      <c r="P3" s="990"/>
      <c r="Q3" s="990"/>
      <c r="R3" s="990"/>
      <c r="S3" s="990"/>
      <c r="T3" s="990"/>
      <c r="U3" s="293"/>
      <c r="V3" s="1024"/>
      <c r="W3" s="1025"/>
      <c r="X3" s="1025"/>
      <c r="Y3" s="1025"/>
      <c r="Z3" s="1025"/>
      <c r="AA3" s="1025"/>
      <c r="AB3" s="1026"/>
      <c r="AC3" s="995"/>
      <c r="AD3" s="996"/>
      <c r="AE3" s="996"/>
      <c r="AF3" s="996"/>
      <c r="AG3" s="996"/>
      <c r="AH3" s="996"/>
      <c r="AI3" s="996"/>
      <c r="AJ3" s="996"/>
      <c r="AK3" s="996"/>
      <c r="AL3" s="583"/>
      <c r="AM3" s="584"/>
      <c r="AN3" s="581"/>
    </row>
    <row r="4" spans="1:40" s="30" customFormat="1" ht="12.75" customHeight="1" thickBot="1" x14ac:dyDescent="0.4">
      <c r="A4" s="972" t="s">
        <v>1</v>
      </c>
      <c r="B4" s="1009" t="s">
        <v>110</v>
      </c>
      <c r="C4" s="396" t="s">
        <v>95</v>
      </c>
      <c r="D4" s="397" t="s">
        <v>97</v>
      </c>
      <c r="E4" s="1027" t="s">
        <v>30</v>
      </c>
      <c r="F4" s="1029" t="s">
        <v>125</v>
      </c>
      <c r="G4" s="1031" t="s">
        <v>91</v>
      </c>
      <c r="H4" s="1031" t="s">
        <v>92</v>
      </c>
      <c r="I4" s="1031" t="s">
        <v>93</v>
      </c>
      <c r="J4" s="1033" t="s">
        <v>94</v>
      </c>
      <c r="K4" s="1001" t="s">
        <v>46</v>
      </c>
      <c r="L4" s="999" t="s">
        <v>132</v>
      </c>
      <c r="M4" s="991" t="s">
        <v>128</v>
      </c>
      <c r="N4" s="991" t="s">
        <v>127</v>
      </c>
      <c r="O4" s="991" t="s">
        <v>126</v>
      </c>
      <c r="P4" s="991" t="s">
        <v>129</v>
      </c>
      <c r="Q4" s="991" t="s">
        <v>130</v>
      </c>
      <c r="R4" s="991" t="s">
        <v>137</v>
      </c>
      <c r="S4" s="991" t="s">
        <v>138</v>
      </c>
      <c r="T4" s="997" t="s">
        <v>131</v>
      </c>
      <c r="U4" s="293"/>
      <c r="V4" s="1019" t="s">
        <v>30</v>
      </c>
      <c r="W4" s="1017" t="s">
        <v>125</v>
      </c>
      <c r="X4" s="983" t="s">
        <v>91</v>
      </c>
      <c r="Y4" s="983" t="s">
        <v>92</v>
      </c>
      <c r="Z4" s="983" t="s">
        <v>93</v>
      </c>
      <c r="AA4" s="1013" t="s">
        <v>94</v>
      </c>
      <c r="AB4" s="1015" t="s">
        <v>46</v>
      </c>
      <c r="AC4" s="981" t="s">
        <v>132</v>
      </c>
      <c r="AD4" s="979" t="s">
        <v>128</v>
      </c>
      <c r="AE4" s="979" t="s">
        <v>127</v>
      </c>
      <c r="AF4" s="979" t="s">
        <v>126</v>
      </c>
      <c r="AG4" s="979" t="s">
        <v>129</v>
      </c>
      <c r="AH4" s="979" t="s">
        <v>130</v>
      </c>
      <c r="AI4" s="979" t="s">
        <v>137</v>
      </c>
      <c r="AJ4" s="979" t="s">
        <v>138</v>
      </c>
      <c r="AK4" s="985" t="s">
        <v>131</v>
      </c>
      <c r="AL4" s="585" t="s">
        <v>133</v>
      </c>
      <c r="AM4" s="586" t="s">
        <v>133</v>
      </c>
      <c r="AN4" s="977" t="s">
        <v>111</v>
      </c>
    </row>
    <row r="5" spans="1:40" s="30" customFormat="1" ht="35.25" customHeight="1" thickBot="1" x14ac:dyDescent="0.4">
      <c r="A5" s="973"/>
      <c r="B5" s="1010"/>
      <c r="C5" s="398" t="s">
        <v>96</v>
      </c>
      <c r="D5" s="399" t="s">
        <v>95</v>
      </c>
      <c r="E5" s="1028"/>
      <c r="F5" s="1030"/>
      <c r="G5" s="1032"/>
      <c r="H5" s="1032"/>
      <c r="I5" s="1032"/>
      <c r="J5" s="1034"/>
      <c r="K5" s="1002"/>
      <c r="L5" s="1000"/>
      <c r="M5" s="992"/>
      <c r="N5" s="992"/>
      <c r="O5" s="992"/>
      <c r="P5" s="992"/>
      <c r="Q5" s="992"/>
      <c r="R5" s="992"/>
      <c r="S5" s="992"/>
      <c r="T5" s="998"/>
      <c r="U5" s="293"/>
      <c r="V5" s="1020"/>
      <c r="W5" s="1018"/>
      <c r="X5" s="984"/>
      <c r="Y5" s="984"/>
      <c r="Z5" s="984"/>
      <c r="AA5" s="1014"/>
      <c r="AB5" s="1016"/>
      <c r="AC5" s="982"/>
      <c r="AD5" s="980"/>
      <c r="AE5" s="980"/>
      <c r="AF5" s="980"/>
      <c r="AG5" s="980"/>
      <c r="AH5" s="980"/>
      <c r="AI5" s="980"/>
      <c r="AJ5" s="980"/>
      <c r="AK5" s="986"/>
      <c r="AL5" s="587" t="s">
        <v>134</v>
      </c>
      <c r="AM5" s="588" t="s">
        <v>135</v>
      </c>
      <c r="AN5" s="978"/>
    </row>
    <row r="6" spans="1:40" s="362" customFormat="1" ht="21.75" thickBot="1" x14ac:dyDescent="0.4">
      <c r="A6" s="623" t="s">
        <v>25</v>
      </c>
      <c r="B6" s="624">
        <v>167772377</v>
      </c>
      <c r="C6" s="626" t="s">
        <v>173</v>
      </c>
      <c r="D6" s="627" t="s">
        <v>174</v>
      </c>
      <c r="E6" s="433"/>
      <c r="F6" s="605"/>
      <c r="G6" s="433"/>
      <c r="H6" s="433">
        <f>Y6-AL6</f>
        <v>2160</v>
      </c>
      <c r="I6" s="433"/>
      <c r="J6" s="367">
        <f>SUM(F6:I6)</f>
        <v>2160</v>
      </c>
      <c r="K6" s="600"/>
      <c r="L6" s="434"/>
      <c r="M6" s="434"/>
      <c r="N6" s="434"/>
      <c r="O6" s="434"/>
      <c r="P6" s="434"/>
      <c r="Q6" s="434"/>
      <c r="R6" s="434"/>
      <c r="S6" s="434"/>
      <c r="T6" s="434"/>
      <c r="U6" s="622"/>
      <c r="V6" s="435"/>
      <c r="W6" s="435"/>
      <c r="X6" s="435"/>
      <c r="Y6" s="435">
        <v>16710</v>
      </c>
      <c r="Z6" s="440"/>
      <c r="AA6" s="346">
        <f t="shared" ref="AA6:AA7" si="0">SUM(W6:Z6)</f>
        <v>16710</v>
      </c>
      <c r="AB6" s="436"/>
      <c r="AC6" s="437"/>
      <c r="AD6" s="437"/>
      <c r="AE6" s="437"/>
      <c r="AF6" s="437"/>
      <c r="AG6" s="437"/>
      <c r="AH6" s="437"/>
      <c r="AI6" s="437"/>
      <c r="AJ6" s="437"/>
      <c r="AK6" s="791"/>
      <c r="AL6" s="438">
        <f>1440+13110</f>
        <v>14550</v>
      </c>
      <c r="AM6" s="438">
        <f t="shared" ref="AM6:AM7" si="1">(V6+W6+X6+Y6+Z6+AB6+AC6+AD6+AE6+AF6+AG6+AH6+AI6+AJ6+AK6)-AL6</f>
        <v>2160</v>
      </c>
      <c r="AN6" s="625" t="s">
        <v>195</v>
      </c>
    </row>
    <row r="7" spans="1:40" s="362" customFormat="1" ht="21.75" thickBot="1" x14ac:dyDescent="0.4">
      <c r="A7" s="623" t="s">
        <v>25</v>
      </c>
      <c r="B7" s="624">
        <v>167772377</v>
      </c>
      <c r="C7" s="626" t="s">
        <v>173</v>
      </c>
      <c r="D7" s="627" t="s">
        <v>174</v>
      </c>
      <c r="E7" s="433"/>
      <c r="F7" s="605"/>
      <c r="G7" s="605"/>
      <c r="H7" s="605"/>
      <c r="I7" s="433">
        <f>Z7-AL7</f>
        <v>2160</v>
      </c>
      <c r="J7" s="367">
        <f>SUM(F7:I7)</f>
        <v>2160</v>
      </c>
      <c r="K7" s="600"/>
      <c r="L7" s="434"/>
      <c r="M7" s="434"/>
      <c r="N7" s="434"/>
      <c r="O7" s="434"/>
      <c r="P7" s="434"/>
      <c r="Q7" s="434"/>
      <c r="R7" s="434"/>
      <c r="S7" s="434"/>
      <c r="T7" s="434"/>
      <c r="U7" s="622"/>
      <c r="V7" s="435"/>
      <c r="W7" s="435"/>
      <c r="X7" s="435"/>
      <c r="Y7" s="435"/>
      <c r="Z7" s="440">
        <v>21180</v>
      </c>
      <c r="AA7" s="346">
        <f t="shared" si="0"/>
        <v>21180</v>
      </c>
      <c r="AB7" s="436"/>
      <c r="AC7" s="437"/>
      <c r="AD7" s="437"/>
      <c r="AE7" s="437"/>
      <c r="AF7" s="437"/>
      <c r="AG7" s="437"/>
      <c r="AH7" s="437"/>
      <c r="AI7" s="437"/>
      <c r="AJ7" s="437"/>
      <c r="AK7" s="791"/>
      <c r="AL7" s="438">
        <f>1440+16200+1380</f>
        <v>19020</v>
      </c>
      <c r="AM7" s="438">
        <f t="shared" si="1"/>
        <v>2160</v>
      </c>
      <c r="AN7" s="625" t="s">
        <v>193</v>
      </c>
    </row>
    <row r="8" spans="1:40" s="785" customFormat="1" ht="21.75" thickBot="1" x14ac:dyDescent="0.4">
      <c r="A8" s="363" t="s">
        <v>25</v>
      </c>
      <c r="B8" s="361">
        <v>167772488</v>
      </c>
      <c r="C8" s="632" t="s">
        <v>357</v>
      </c>
      <c r="D8" s="633" t="s">
        <v>361</v>
      </c>
      <c r="E8" s="366">
        <f>V8-AL8</f>
        <v>0</v>
      </c>
      <c r="F8" s="602">
        <f>W8-AL8</f>
        <v>150000</v>
      </c>
      <c r="G8" s="602">
        <f>X8-AL8</f>
        <v>0</v>
      </c>
      <c r="H8" s="602">
        <f>Y8-AL8</f>
        <v>0</v>
      </c>
      <c r="I8" s="366">
        <f>Z8-AL8</f>
        <v>0</v>
      </c>
      <c r="J8" s="367">
        <f>SUM(F8:I8)</f>
        <v>150000</v>
      </c>
      <c r="K8" s="693">
        <f>AB8-AL8</f>
        <v>0</v>
      </c>
      <c r="L8" s="368"/>
      <c r="M8" s="434"/>
      <c r="N8" s="368"/>
      <c r="O8" s="368"/>
      <c r="P8" s="368"/>
      <c r="Q8" s="368"/>
      <c r="R8" s="368"/>
      <c r="S8" s="368"/>
      <c r="T8" s="368"/>
      <c r="U8" s="622"/>
      <c r="V8" s="349"/>
      <c r="W8" s="349">
        <v>150000</v>
      </c>
      <c r="X8" s="349"/>
      <c r="Y8" s="349"/>
      <c r="Z8" s="370"/>
      <c r="AA8" s="346">
        <f>SUM(W8:Z8)</f>
        <v>150000</v>
      </c>
      <c r="AB8" s="350"/>
      <c r="AC8" s="371"/>
      <c r="AD8" s="371"/>
      <c r="AE8" s="371"/>
      <c r="AF8" s="371"/>
      <c r="AG8" s="371"/>
      <c r="AH8" s="371"/>
      <c r="AI8" s="371"/>
      <c r="AJ8" s="371"/>
      <c r="AK8" s="413"/>
      <c r="AL8" s="411"/>
      <c r="AM8" s="629">
        <f t="shared" ref="AM8:AM23" si="2">(V8+W8+X8+Y8+Z8+AB8+AC8+AD8+AE8+AF8+AG8+AH8+AI8+AJ8+AK8)-AL8</f>
        <v>150000</v>
      </c>
      <c r="AN8" s="369"/>
    </row>
    <row r="9" spans="1:40" s="785" customFormat="1" ht="21.75" thickBot="1" x14ac:dyDescent="0.4">
      <c r="A9" s="810" t="s">
        <v>25</v>
      </c>
      <c r="B9" s="811">
        <v>167772481</v>
      </c>
      <c r="C9" s="812" t="s">
        <v>358</v>
      </c>
      <c r="D9" s="813" t="s">
        <v>362</v>
      </c>
      <c r="E9" s="814"/>
      <c r="F9" s="815">
        <f t="shared" ref="F9:F20" si="3">W9-AL9</f>
        <v>0</v>
      </c>
      <c r="G9" s="815"/>
      <c r="H9" s="815"/>
      <c r="I9" s="814"/>
      <c r="J9" s="816">
        <f t="shared" ref="J9:J20" si="4">SUM(F9:I9)</f>
        <v>0</v>
      </c>
      <c r="K9" s="817"/>
      <c r="L9" s="818"/>
      <c r="M9" s="819"/>
      <c r="N9" s="818"/>
      <c r="O9" s="818"/>
      <c r="P9" s="818"/>
      <c r="Q9" s="818"/>
      <c r="R9" s="818"/>
      <c r="S9" s="818"/>
      <c r="T9" s="818"/>
      <c r="U9" s="820"/>
      <c r="V9" s="814"/>
      <c r="W9" s="814">
        <v>30000</v>
      </c>
      <c r="X9" s="814"/>
      <c r="Y9" s="814"/>
      <c r="Z9" s="821"/>
      <c r="AA9" s="816">
        <f t="shared" ref="AA9:AA20" si="5">SUM(W9:Z9)</f>
        <v>30000</v>
      </c>
      <c r="AB9" s="817"/>
      <c r="AC9" s="818"/>
      <c r="AD9" s="818"/>
      <c r="AE9" s="818"/>
      <c r="AF9" s="818"/>
      <c r="AG9" s="818"/>
      <c r="AH9" s="818"/>
      <c r="AI9" s="818"/>
      <c r="AJ9" s="818"/>
      <c r="AK9" s="822"/>
      <c r="AL9" s="823">
        <f>3600+26400</f>
        <v>30000</v>
      </c>
      <c r="AM9" s="824">
        <f t="shared" si="2"/>
        <v>0</v>
      </c>
      <c r="AN9" s="825" t="s">
        <v>383</v>
      </c>
    </row>
    <row r="10" spans="1:40" s="785" customFormat="1" ht="21.75" thickBot="1" x14ac:dyDescent="0.4">
      <c r="A10" s="363" t="s">
        <v>25</v>
      </c>
      <c r="B10" s="361">
        <v>167772489</v>
      </c>
      <c r="C10" s="632" t="s">
        <v>357</v>
      </c>
      <c r="D10" s="633" t="s">
        <v>361</v>
      </c>
      <c r="E10" s="366">
        <f t="shared" ref="E10:E20" si="6">V10-AL10</f>
        <v>0</v>
      </c>
      <c r="F10" s="602">
        <f t="shared" si="3"/>
        <v>0</v>
      </c>
      <c r="G10" s="602">
        <f t="shared" ref="G10:G20" si="7">X10-AL10</f>
        <v>90000</v>
      </c>
      <c r="H10" s="602">
        <f t="shared" ref="H10:H20" si="8">Y10-AL10</f>
        <v>0</v>
      </c>
      <c r="I10" s="366">
        <f t="shared" ref="I10:I20" si="9">Z10-AL10</f>
        <v>0</v>
      </c>
      <c r="J10" s="367">
        <f t="shared" si="4"/>
        <v>90000</v>
      </c>
      <c r="K10" s="693">
        <f t="shared" ref="K10:K20" si="10">AB10-AL10</f>
        <v>0</v>
      </c>
      <c r="L10" s="368"/>
      <c r="M10" s="434"/>
      <c r="N10" s="368"/>
      <c r="O10" s="368"/>
      <c r="P10" s="368"/>
      <c r="Q10" s="368"/>
      <c r="R10" s="368"/>
      <c r="S10" s="368"/>
      <c r="T10" s="368"/>
      <c r="U10" s="622"/>
      <c r="V10" s="349"/>
      <c r="W10" s="349"/>
      <c r="X10" s="349">
        <v>90000</v>
      </c>
      <c r="Y10" s="349"/>
      <c r="Z10" s="370"/>
      <c r="AA10" s="346">
        <f t="shared" si="5"/>
        <v>90000</v>
      </c>
      <c r="AB10" s="350"/>
      <c r="AC10" s="371"/>
      <c r="AD10" s="371"/>
      <c r="AE10" s="371"/>
      <c r="AF10" s="371"/>
      <c r="AG10" s="371"/>
      <c r="AH10" s="371"/>
      <c r="AI10" s="371"/>
      <c r="AJ10" s="371"/>
      <c r="AK10" s="413"/>
      <c r="AL10" s="411"/>
      <c r="AM10" s="629">
        <f t="shared" si="2"/>
        <v>90000</v>
      </c>
      <c r="AN10" s="369"/>
    </row>
    <row r="11" spans="1:40" s="785" customFormat="1" ht="21.75" thickBot="1" x14ac:dyDescent="0.4">
      <c r="A11" s="810" t="s">
        <v>25</v>
      </c>
      <c r="B11" s="811">
        <v>167772482</v>
      </c>
      <c r="C11" s="812" t="s">
        <v>358</v>
      </c>
      <c r="D11" s="813" t="s">
        <v>362</v>
      </c>
      <c r="E11" s="814"/>
      <c r="F11" s="815"/>
      <c r="G11" s="815">
        <f t="shared" si="7"/>
        <v>0</v>
      </c>
      <c r="H11" s="815"/>
      <c r="I11" s="814"/>
      <c r="J11" s="816">
        <f t="shared" si="4"/>
        <v>0</v>
      </c>
      <c r="K11" s="817"/>
      <c r="L11" s="818"/>
      <c r="M11" s="819"/>
      <c r="N11" s="818"/>
      <c r="O11" s="818"/>
      <c r="P11" s="818"/>
      <c r="Q11" s="818"/>
      <c r="R11" s="818"/>
      <c r="S11" s="818"/>
      <c r="T11" s="818"/>
      <c r="U11" s="820"/>
      <c r="V11" s="814"/>
      <c r="W11" s="814"/>
      <c r="X11" s="814">
        <v>30000</v>
      </c>
      <c r="Y11" s="814"/>
      <c r="Z11" s="821"/>
      <c r="AA11" s="816">
        <f t="shared" si="5"/>
        <v>30000</v>
      </c>
      <c r="AB11" s="817"/>
      <c r="AC11" s="818"/>
      <c r="AD11" s="818"/>
      <c r="AE11" s="818"/>
      <c r="AF11" s="818"/>
      <c r="AG11" s="818"/>
      <c r="AH11" s="818"/>
      <c r="AI11" s="818"/>
      <c r="AJ11" s="818"/>
      <c r="AK11" s="822"/>
      <c r="AL11" s="823">
        <f>3600+26400</f>
        <v>30000</v>
      </c>
      <c r="AM11" s="824">
        <f t="shared" si="2"/>
        <v>0</v>
      </c>
      <c r="AN11" s="825" t="s">
        <v>383</v>
      </c>
    </row>
    <row r="12" spans="1:40" s="785" customFormat="1" ht="21.75" thickBot="1" x14ac:dyDescent="0.4">
      <c r="A12" s="363" t="s">
        <v>25</v>
      </c>
      <c r="B12" s="361">
        <v>167772490</v>
      </c>
      <c r="C12" s="632" t="s">
        <v>357</v>
      </c>
      <c r="D12" s="633" t="s">
        <v>361</v>
      </c>
      <c r="E12" s="366">
        <f t="shared" si="6"/>
        <v>0</v>
      </c>
      <c r="F12" s="602">
        <f t="shared" si="3"/>
        <v>0</v>
      </c>
      <c r="G12" s="602">
        <f t="shared" si="7"/>
        <v>0</v>
      </c>
      <c r="H12" s="602">
        <f t="shared" si="8"/>
        <v>90000</v>
      </c>
      <c r="I12" s="366">
        <f t="shared" si="9"/>
        <v>0</v>
      </c>
      <c r="J12" s="367">
        <f t="shared" si="4"/>
        <v>90000</v>
      </c>
      <c r="K12" s="693">
        <f t="shared" si="10"/>
        <v>0</v>
      </c>
      <c r="L12" s="368"/>
      <c r="M12" s="434"/>
      <c r="N12" s="368"/>
      <c r="O12" s="368"/>
      <c r="P12" s="368"/>
      <c r="Q12" s="368"/>
      <c r="R12" s="368"/>
      <c r="S12" s="368"/>
      <c r="T12" s="368"/>
      <c r="U12" s="622"/>
      <c r="V12" s="349"/>
      <c r="W12" s="349"/>
      <c r="X12" s="349"/>
      <c r="Y12" s="349">
        <v>90000</v>
      </c>
      <c r="Z12" s="370"/>
      <c r="AA12" s="346">
        <f t="shared" si="5"/>
        <v>90000</v>
      </c>
      <c r="AB12" s="350"/>
      <c r="AC12" s="371"/>
      <c r="AD12" s="371"/>
      <c r="AE12" s="371"/>
      <c r="AF12" s="371"/>
      <c r="AG12" s="371"/>
      <c r="AH12" s="371"/>
      <c r="AI12" s="371"/>
      <c r="AJ12" s="371"/>
      <c r="AK12" s="809"/>
      <c r="AL12" s="411"/>
      <c r="AM12" s="629">
        <f t="shared" si="2"/>
        <v>90000</v>
      </c>
      <c r="AN12" s="369"/>
    </row>
    <row r="13" spans="1:40" s="785" customFormat="1" ht="21.75" thickBot="1" x14ac:dyDescent="0.4">
      <c r="A13" s="810" t="s">
        <v>25</v>
      </c>
      <c r="B13" s="811">
        <v>167772482</v>
      </c>
      <c r="C13" s="812" t="s">
        <v>358</v>
      </c>
      <c r="D13" s="813" t="s">
        <v>362</v>
      </c>
      <c r="E13" s="814"/>
      <c r="F13" s="815"/>
      <c r="G13" s="815"/>
      <c r="H13" s="815">
        <f t="shared" si="8"/>
        <v>0</v>
      </c>
      <c r="I13" s="814"/>
      <c r="J13" s="816">
        <f t="shared" si="4"/>
        <v>0</v>
      </c>
      <c r="K13" s="817"/>
      <c r="L13" s="818"/>
      <c r="M13" s="819"/>
      <c r="N13" s="818"/>
      <c r="O13" s="818"/>
      <c r="P13" s="818"/>
      <c r="Q13" s="818"/>
      <c r="R13" s="818"/>
      <c r="S13" s="818"/>
      <c r="T13" s="818"/>
      <c r="U13" s="820"/>
      <c r="V13" s="814"/>
      <c r="W13" s="814"/>
      <c r="X13" s="814"/>
      <c r="Y13" s="814">
        <v>30000</v>
      </c>
      <c r="Z13" s="821"/>
      <c r="AA13" s="816">
        <f t="shared" si="5"/>
        <v>30000</v>
      </c>
      <c r="AB13" s="817"/>
      <c r="AC13" s="818"/>
      <c r="AD13" s="818"/>
      <c r="AE13" s="818"/>
      <c r="AF13" s="818"/>
      <c r="AG13" s="818"/>
      <c r="AH13" s="818"/>
      <c r="AI13" s="818"/>
      <c r="AJ13" s="818"/>
      <c r="AK13" s="826"/>
      <c r="AL13" s="823">
        <f>3600+26400</f>
        <v>30000</v>
      </c>
      <c r="AM13" s="824">
        <f t="shared" si="2"/>
        <v>0</v>
      </c>
      <c r="AN13" s="825" t="s">
        <v>383</v>
      </c>
    </row>
    <row r="14" spans="1:40" s="785" customFormat="1" ht="21.75" thickBot="1" x14ac:dyDescent="0.4">
      <c r="A14" s="363" t="s">
        <v>25</v>
      </c>
      <c r="B14" s="361">
        <v>167772491</v>
      </c>
      <c r="C14" s="632" t="s">
        <v>357</v>
      </c>
      <c r="D14" s="633" t="s">
        <v>361</v>
      </c>
      <c r="E14" s="366">
        <f t="shared" si="6"/>
        <v>0</v>
      </c>
      <c r="F14" s="602">
        <f t="shared" si="3"/>
        <v>0</v>
      </c>
      <c r="G14" s="602">
        <f t="shared" si="7"/>
        <v>0</v>
      </c>
      <c r="H14" s="602">
        <f t="shared" si="8"/>
        <v>0</v>
      </c>
      <c r="I14" s="366">
        <f t="shared" si="9"/>
        <v>90000</v>
      </c>
      <c r="J14" s="367">
        <f t="shared" si="4"/>
        <v>90000</v>
      </c>
      <c r="K14" s="693">
        <f t="shared" si="10"/>
        <v>0</v>
      </c>
      <c r="L14" s="368"/>
      <c r="M14" s="434"/>
      <c r="N14" s="368"/>
      <c r="O14" s="368"/>
      <c r="P14" s="368"/>
      <c r="Q14" s="368"/>
      <c r="R14" s="368"/>
      <c r="S14" s="368"/>
      <c r="T14" s="368"/>
      <c r="U14" s="622"/>
      <c r="V14" s="349"/>
      <c r="W14" s="349"/>
      <c r="X14" s="349"/>
      <c r="Y14" s="349"/>
      <c r="Z14" s="370">
        <v>90000</v>
      </c>
      <c r="AA14" s="346">
        <f t="shared" si="5"/>
        <v>90000</v>
      </c>
      <c r="AB14" s="350"/>
      <c r="AC14" s="371"/>
      <c r="AD14" s="371"/>
      <c r="AE14" s="371"/>
      <c r="AF14" s="371"/>
      <c r="AG14" s="371"/>
      <c r="AH14" s="371"/>
      <c r="AI14" s="371"/>
      <c r="AJ14" s="371"/>
      <c r="AK14" s="809"/>
      <c r="AL14" s="411"/>
      <c r="AM14" s="629">
        <f t="shared" si="2"/>
        <v>90000</v>
      </c>
      <c r="AN14" s="369"/>
    </row>
    <row r="15" spans="1:40" s="785" customFormat="1" ht="21.75" thickBot="1" x14ac:dyDescent="0.4">
      <c r="A15" s="810" t="s">
        <v>25</v>
      </c>
      <c r="B15" s="811">
        <v>167772482</v>
      </c>
      <c r="C15" s="812" t="s">
        <v>358</v>
      </c>
      <c r="D15" s="813" t="s">
        <v>362</v>
      </c>
      <c r="E15" s="814"/>
      <c r="F15" s="815"/>
      <c r="G15" s="815"/>
      <c r="H15" s="815"/>
      <c r="I15" s="814">
        <f t="shared" si="9"/>
        <v>0</v>
      </c>
      <c r="J15" s="816">
        <f t="shared" si="4"/>
        <v>0</v>
      </c>
      <c r="K15" s="817"/>
      <c r="L15" s="818"/>
      <c r="M15" s="819"/>
      <c r="N15" s="818"/>
      <c r="O15" s="818"/>
      <c r="P15" s="818"/>
      <c r="Q15" s="818"/>
      <c r="R15" s="818"/>
      <c r="S15" s="818"/>
      <c r="T15" s="818"/>
      <c r="U15" s="820"/>
      <c r="V15" s="814"/>
      <c r="W15" s="814"/>
      <c r="X15" s="814"/>
      <c r="Y15" s="814"/>
      <c r="Z15" s="821">
        <v>30000</v>
      </c>
      <c r="AA15" s="816">
        <f t="shared" si="5"/>
        <v>30000</v>
      </c>
      <c r="AB15" s="817"/>
      <c r="AC15" s="818"/>
      <c r="AD15" s="818"/>
      <c r="AE15" s="818"/>
      <c r="AF15" s="818"/>
      <c r="AG15" s="818"/>
      <c r="AH15" s="818"/>
      <c r="AI15" s="818"/>
      <c r="AJ15" s="818"/>
      <c r="AK15" s="826"/>
      <c r="AL15" s="823">
        <f>3600+26400</f>
        <v>30000</v>
      </c>
      <c r="AM15" s="824">
        <f t="shared" si="2"/>
        <v>0</v>
      </c>
      <c r="AN15" s="825" t="s">
        <v>383</v>
      </c>
    </row>
    <row r="16" spans="1:40" s="785" customFormat="1" ht="21.75" thickBot="1" x14ac:dyDescent="0.4">
      <c r="A16" s="363" t="s">
        <v>25</v>
      </c>
      <c r="B16" s="361">
        <v>167772479</v>
      </c>
      <c r="C16" s="632" t="s">
        <v>359</v>
      </c>
      <c r="D16" s="633" t="s">
        <v>362</v>
      </c>
      <c r="E16" s="366">
        <f t="shared" si="6"/>
        <v>41825</v>
      </c>
      <c r="F16" s="602"/>
      <c r="G16" s="602"/>
      <c r="H16" s="602"/>
      <c r="I16" s="366"/>
      <c r="J16" s="367">
        <f t="shared" si="4"/>
        <v>0</v>
      </c>
      <c r="K16" s="693"/>
      <c r="L16" s="368"/>
      <c r="M16" s="434"/>
      <c r="N16" s="368"/>
      <c r="O16" s="368"/>
      <c r="P16" s="368"/>
      <c r="Q16" s="368"/>
      <c r="R16" s="368"/>
      <c r="S16" s="368"/>
      <c r="T16" s="368"/>
      <c r="U16" s="622"/>
      <c r="V16" s="349">
        <v>237500</v>
      </c>
      <c r="W16" s="349"/>
      <c r="X16" s="349"/>
      <c r="Y16" s="349"/>
      <c r="Z16" s="370"/>
      <c r="AA16" s="346">
        <f t="shared" si="5"/>
        <v>0</v>
      </c>
      <c r="AB16" s="350"/>
      <c r="AC16" s="371"/>
      <c r="AD16" s="371"/>
      <c r="AE16" s="371"/>
      <c r="AF16" s="371"/>
      <c r="AG16" s="371"/>
      <c r="AH16" s="371"/>
      <c r="AI16" s="371"/>
      <c r="AJ16" s="371"/>
      <c r="AK16" s="809"/>
      <c r="AL16" s="411">
        <f>37500+158175</f>
        <v>195675</v>
      </c>
      <c r="AM16" s="629">
        <f t="shared" si="2"/>
        <v>41825</v>
      </c>
      <c r="AN16" s="369" t="s">
        <v>380</v>
      </c>
    </row>
    <row r="17" spans="1:40" s="785" customFormat="1" ht="21.75" thickBot="1" x14ac:dyDescent="0.4">
      <c r="A17" s="363" t="s">
        <v>25</v>
      </c>
      <c r="B17" s="361">
        <v>167772493</v>
      </c>
      <c r="C17" s="632" t="s">
        <v>357</v>
      </c>
      <c r="D17" s="633" t="s">
        <v>361</v>
      </c>
      <c r="E17" s="366">
        <f t="shared" si="6"/>
        <v>0</v>
      </c>
      <c r="F17" s="602">
        <f t="shared" si="3"/>
        <v>0</v>
      </c>
      <c r="G17" s="602">
        <f t="shared" si="7"/>
        <v>0</v>
      </c>
      <c r="H17" s="602">
        <f t="shared" si="8"/>
        <v>0</v>
      </c>
      <c r="I17" s="366">
        <f t="shared" si="9"/>
        <v>0</v>
      </c>
      <c r="J17" s="367">
        <f t="shared" si="4"/>
        <v>0</v>
      </c>
      <c r="K17" s="693">
        <f t="shared" si="10"/>
        <v>300000</v>
      </c>
      <c r="L17" s="368"/>
      <c r="M17" s="434"/>
      <c r="N17" s="368"/>
      <c r="O17" s="368"/>
      <c r="P17" s="368"/>
      <c r="Q17" s="368"/>
      <c r="R17" s="368"/>
      <c r="S17" s="368"/>
      <c r="T17" s="368"/>
      <c r="U17" s="622"/>
      <c r="V17" s="349"/>
      <c r="W17" s="349"/>
      <c r="X17" s="349"/>
      <c r="Y17" s="349"/>
      <c r="Z17" s="370"/>
      <c r="AA17" s="346">
        <f t="shared" si="5"/>
        <v>0</v>
      </c>
      <c r="AB17" s="350">
        <v>300000</v>
      </c>
      <c r="AC17" s="371"/>
      <c r="AD17" s="371"/>
      <c r="AE17" s="371"/>
      <c r="AF17" s="371"/>
      <c r="AG17" s="371"/>
      <c r="AH17" s="371"/>
      <c r="AI17" s="371"/>
      <c r="AJ17" s="371"/>
      <c r="AK17" s="809"/>
      <c r="AL17" s="411"/>
      <c r="AM17" s="629">
        <f t="shared" si="2"/>
        <v>300000</v>
      </c>
      <c r="AN17" s="369"/>
    </row>
    <row r="18" spans="1:40" s="785" customFormat="1" ht="21.75" thickBot="1" x14ac:dyDescent="0.4">
      <c r="A18" s="810" t="s">
        <v>25</v>
      </c>
      <c r="B18" s="811">
        <v>167772481</v>
      </c>
      <c r="C18" s="812" t="s">
        <v>358</v>
      </c>
      <c r="D18" s="813" t="s">
        <v>362</v>
      </c>
      <c r="E18" s="814"/>
      <c r="F18" s="814"/>
      <c r="G18" s="814"/>
      <c r="H18" s="814"/>
      <c r="I18" s="814"/>
      <c r="J18" s="816">
        <f t="shared" si="4"/>
        <v>0</v>
      </c>
      <c r="K18" s="817">
        <f t="shared" si="10"/>
        <v>0</v>
      </c>
      <c r="L18" s="818"/>
      <c r="M18" s="819"/>
      <c r="N18" s="818"/>
      <c r="O18" s="818"/>
      <c r="P18" s="818"/>
      <c r="Q18" s="818"/>
      <c r="R18" s="818"/>
      <c r="S18" s="818"/>
      <c r="T18" s="818"/>
      <c r="U18" s="820"/>
      <c r="V18" s="814"/>
      <c r="W18" s="814"/>
      <c r="X18" s="814"/>
      <c r="Y18" s="814"/>
      <c r="Z18" s="821"/>
      <c r="AA18" s="816">
        <f t="shared" si="5"/>
        <v>0</v>
      </c>
      <c r="AB18" s="817">
        <v>400000</v>
      </c>
      <c r="AC18" s="818"/>
      <c r="AD18" s="818"/>
      <c r="AE18" s="818"/>
      <c r="AF18" s="818"/>
      <c r="AG18" s="818"/>
      <c r="AH18" s="818"/>
      <c r="AI18" s="818"/>
      <c r="AJ18" s="818"/>
      <c r="AK18" s="826"/>
      <c r="AL18" s="823">
        <v>400000</v>
      </c>
      <c r="AM18" s="824">
        <f t="shared" si="2"/>
        <v>0</v>
      </c>
      <c r="AN18" s="825" t="s">
        <v>384</v>
      </c>
    </row>
    <row r="19" spans="1:40" s="785" customFormat="1" ht="21.75" thickBot="1" x14ac:dyDescent="0.4">
      <c r="A19" s="363" t="s">
        <v>25</v>
      </c>
      <c r="B19" s="361">
        <v>167772492</v>
      </c>
      <c r="C19" s="632" t="s">
        <v>357</v>
      </c>
      <c r="D19" s="633" t="s">
        <v>361</v>
      </c>
      <c r="E19" s="366">
        <f t="shared" si="6"/>
        <v>0</v>
      </c>
      <c r="F19" s="602">
        <f t="shared" si="3"/>
        <v>0</v>
      </c>
      <c r="G19" s="602">
        <f t="shared" si="7"/>
        <v>0</v>
      </c>
      <c r="H19" s="602">
        <f t="shared" si="8"/>
        <v>0</v>
      </c>
      <c r="I19" s="366">
        <f t="shared" si="9"/>
        <v>0</v>
      </c>
      <c r="J19" s="367">
        <f t="shared" si="4"/>
        <v>0</v>
      </c>
      <c r="K19" s="693">
        <f t="shared" si="10"/>
        <v>0</v>
      </c>
      <c r="L19" s="368"/>
      <c r="M19" s="434"/>
      <c r="N19" s="368"/>
      <c r="O19" s="368"/>
      <c r="P19" s="368">
        <f>AG19-AL19</f>
        <v>4000</v>
      </c>
      <c r="Q19" s="368"/>
      <c r="R19" s="368"/>
      <c r="S19" s="368"/>
      <c r="T19" s="368"/>
      <c r="U19" s="622"/>
      <c r="V19" s="349"/>
      <c r="W19" s="349"/>
      <c r="X19" s="349"/>
      <c r="Y19" s="349"/>
      <c r="Z19" s="370"/>
      <c r="AA19" s="346">
        <f t="shared" si="5"/>
        <v>0</v>
      </c>
      <c r="AB19" s="350"/>
      <c r="AC19" s="371"/>
      <c r="AD19" s="371"/>
      <c r="AE19" s="371"/>
      <c r="AF19" s="371"/>
      <c r="AG19" s="371">
        <v>4000</v>
      </c>
      <c r="AH19" s="371"/>
      <c r="AI19" s="371"/>
      <c r="AJ19" s="371"/>
      <c r="AK19" s="809"/>
      <c r="AL19" s="411"/>
      <c r="AM19" s="629">
        <f t="shared" si="2"/>
        <v>4000</v>
      </c>
      <c r="AN19" s="369"/>
    </row>
    <row r="20" spans="1:40" s="785" customFormat="1" ht="21.75" thickBot="1" x14ac:dyDescent="0.4">
      <c r="A20" s="363" t="s">
        <v>25</v>
      </c>
      <c r="B20" s="361">
        <v>167772493</v>
      </c>
      <c r="C20" s="632" t="s">
        <v>357</v>
      </c>
      <c r="D20" s="633" t="s">
        <v>361</v>
      </c>
      <c r="E20" s="366">
        <f t="shared" si="6"/>
        <v>0</v>
      </c>
      <c r="F20" s="602">
        <f t="shared" si="3"/>
        <v>0</v>
      </c>
      <c r="G20" s="602">
        <f t="shared" si="7"/>
        <v>0</v>
      </c>
      <c r="H20" s="602">
        <f t="shared" si="8"/>
        <v>0</v>
      </c>
      <c r="I20" s="366">
        <f t="shared" si="9"/>
        <v>0</v>
      </c>
      <c r="J20" s="367">
        <f t="shared" si="4"/>
        <v>0</v>
      </c>
      <c r="K20" s="693">
        <f t="shared" si="10"/>
        <v>0</v>
      </c>
      <c r="L20" s="368"/>
      <c r="M20" s="434"/>
      <c r="N20" s="368"/>
      <c r="O20" s="368"/>
      <c r="P20" s="368"/>
      <c r="Q20" s="368">
        <f>AH20-AL20</f>
        <v>100000</v>
      </c>
      <c r="R20" s="368"/>
      <c r="S20" s="368"/>
      <c r="T20" s="368"/>
      <c r="U20" s="622"/>
      <c r="V20" s="349"/>
      <c r="W20" s="349"/>
      <c r="X20" s="349"/>
      <c r="Y20" s="349"/>
      <c r="Z20" s="370"/>
      <c r="AA20" s="346">
        <f t="shared" si="5"/>
        <v>0</v>
      </c>
      <c r="AB20" s="350"/>
      <c r="AC20" s="371"/>
      <c r="AD20" s="371"/>
      <c r="AE20" s="371"/>
      <c r="AF20" s="371"/>
      <c r="AG20" s="371"/>
      <c r="AH20" s="371">
        <v>100000</v>
      </c>
      <c r="AI20" s="371"/>
      <c r="AJ20" s="371"/>
      <c r="AK20" s="809"/>
      <c r="AL20" s="411"/>
      <c r="AM20" s="629">
        <f t="shared" si="2"/>
        <v>100000</v>
      </c>
      <c r="AN20" s="369"/>
    </row>
    <row r="21" spans="1:40" s="785" customFormat="1" ht="21.75" thickBot="1" x14ac:dyDescent="0.4">
      <c r="A21" s="363" t="s">
        <v>25</v>
      </c>
      <c r="B21" s="361">
        <v>167772494</v>
      </c>
      <c r="C21" s="632" t="s">
        <v>357</v>
      </c>
      <c r="D21" s="633" t="s">
        <v>361</v>
      </c>
      <c r="E21" s="366"/>
      <c r="F21" s="602"/>
      <c r="G21" s="602"/>
      <c r="H21" s="602"/>
      <c r="I21" s="366"/>
      <c r="J21" s="367"/>
      <c r="K21" s="693"/>
      <c r="L21" s="368">
        <f>AC21-AL21</f>
        <v>150000</v>
      </c>
      <c r="M21" s="434"/>
      <c r="N21" s="368"/>
      <c r="O21" s="368"/>
      <c r="P21" s="368"/>
      <c r="Q21" s="368"/>
      <c r="R21" s="368"/>
      <c r="S21" s="368"/>
      <c r="T21" s="368"/>
      <c r="U21" s="622"/>
      <c r="V21" s="349"/>
      <c r="W21" s="349"/>
      <c r="X21" s="349"/>
      <c r="Y21" s="349"/>
      <c r="Z21" s="370"/>
      <c r="AA21" s="346"/>
      <c r="AB21" s="350"/>
      <c r="AC21" s="371">
        <v>150000</v>
      </c>
      <c r="AD21" s="371"/>
      <c r="AE21" s="371"/>
      <c r="AF21" s="371"/>
      <c r="AG21" s="371"/>
      <c r="AH21" s="371"/>
      <c r="AI21" s="371"/>
      <c r="AJ21" s="371"/>
      <c r="AK21" s="809"/>
      <c r="AL21" s="411"/>
      <c r="AM21" s="629">
        <f t="shared" si="2"/>
        <v>150000</v>
      </c>
      <c r="AN21" s="369"/>
    </row>
    <row r="22" spans="1:40" s="785" customFormat="1" ht="21.75" thickBot="1" x14ac:dyDescent="0.4">
      <c r="A22" s="363" t="s">
        <v>25</v>
      </c>
      <c r="B22" s="361">
        <v>167772564</v>
      </c>
      <c r="C22" s="632">
        <v>45996</v>
      </c>
      <c r="D22" s="633">
        <v>46203</v>
      </c>
      <c r="E22" s="366">
        <f>V22-AL22</f>
        <v>225000</v>
      </c>
      <c r="F22" s="602"/>
      <c r="G22" s="602"/>
      <c r="H22" s="602"/>
      <c r="I22" s="366"/>
      <c r="J22" s="367"/>
      <c r="K22" s="366"/>
      <c r="L22" s="368"/>
      <c r="M22" s="434"/>
      <c r="N22" s="368"/>
      <c r="O22" s="368"/>
      <c r="P22" s="368"/>
      <c r="Q22" s="368"/>
      <c r="R22" s="368"/>
      <c r="S22" s="368"/>
      <c r="T22" s="368"/>
      <c r="U22" s="622"/>
      <c r="V22" s="349">
        <v>225000</v>
      </c>
      <c r="W22" s="349"/>
      <c r="X22" s="349"/>
      <c r="Y22" s="349"/>
      <c r="Z22" s="370"/>
      <c r="AA22" s="346"/>
      <c r="AB22" s="349"/>
      <c r="AC22" s="371"/>
      <c r="AD22" s="371"/>
      <c r="AE22" s="371"/>
      <c r="AF22" s="371"/>
      <c r="AG22" s="371"/>
      <c r="AH22" s="371"/>
      <c r="AI22" s="371"/>
      <c r="AJ22" s="371"/>
      <c r="AK22" s="809"/>
      <c r="AL22" s="411"/>
      <c r="AM22" s="629">
        <f t="shared" si="2"/>
        <v>225000</v>
      </c>
      <c r="AN22" s="369"/>
    </row>
    <row r="23" spans="1:40" s="785" customFormat="1" ht="21.75" thickBot="1" x14ac:dyDescent="0.4">
      <c r="A23" s="810" t="s">
        <v>25</v>
      </c>
      <c r="B23" s="811">
        <v>167772565</v>
      </c>
      <c r="C23" s="812">
        <v>46000</v>
      </c>
      <c r="D23" s="813">
        <v>46052</v>
      </c>
      <c r="E23" s="814"/>
      <c r="F23" s="814"/>
      <c r="G23" s="814"/>
      <c r="H23" s="814"/>
      <c r="I23" s="814"/>
      <c r="J23" s="816">
        <f>SUM(F23:I23)</f>
        <v>0</v>
      </c>
      <c r="K23" s="817">
        <f>AB23-AL23</f>
        <v>0</v>
      </c>
      <c r="L23" s="818"/>
      <c r="M23" s="819"/>
      <c r="N23" s="818"/>
      <c r="O23" s="818"/>
      <c r="P23" s="818"/>
      <c r="Q23" s="818"/>
      <c r="R23" s="818"/>
      <c r="S23" s="818"/>
      <c r="T23" s="818"/>
      <c r="U23" s="820"/>
      <c r="V23" s="814"/>
      <c r="W23" s="814"/>
      <c r="X23" s="814"/>
      <c r="Y23" s="814"/>
      <c r="Z23" s="821"/>
      <c r="AA23" s="816">
        <f>SUM(W23:Z23)</f>
        <v>0</v>
      </c>
      <c r="AB23" s="817">
        <v>400000</v>
      </c>
      <c r="AC23" s="818"/>
      <c r="AD23" s="818"/>
      <c r="AE23" s="818"/>
      <c r="AF23" s="818"/>
      <c r="AG23" s="818"/>
      <c r="AH23" s="818"/>
      <c r="AI23" s="818"/>
      <c r="AJ23" s="818"/>
      <c r="AK23" s="826"/>
      <c r="AL23" s="823">
        <v>400000</v>
      </c>
      <c r="AM23" s="824">
        <f t="shared" si="2"/>
        <v>0</v>
      </c>
      <c r="AN23" s="825" t="s">
        <v>385</v>
      </c>
    </row>
    <row r="24" spans="1:40" s="785" customFormat="1" ht="21.75" thickBot="1" x14ac:dyDescent="0.4">
      <c r="A24" s="363" t="s">
        <v>25</v>
      </c>
      <c r="B24" s="361">
        <v>167772604</v>
      </c>
      <c r="C24" s="632">
        <v>46078</v>
      </c>
      <c r="D24" s="633">
        <v>46142</v>
      </c>
      <c r="E24" s="366">
        <f>V24-AL24</f>
        <v>0</v>
      </c>
      <c r="F24" s="602">
        <f>W24-AL24</f>
        <v>0</v>
      </c>
      <c r="G24" s="602">
        <f>X24-AL24</f>
        <v>0</v>
      </c>
      <c r="H24" s="602">
        <f>Y24-AL24</f>
        <v>0</v>
      </c>
      <c r="I24" s="366">
        <f>Z24-AL24</f>
        <v>0</v>
      </c>
      <c r="J24" s="367">
        <f>SUM(F24:I24)</f>
        <v>0</v>
      </c>
      <c r="K24" s="693">
        <f>AB24-AL24</f>
        <v>2000000</v>
      </c>
      <c r="L24" s="368"/>
      <c r="M24" s="434"/>
      <c r="N24" s="368"/>
      <c r="O24" s="368"/>
      <c r="P24" s="368"/>
      <c r="Q24" s="368"/>
      <c r="R24" s="368"/>
      <c r="S24" s="368"/>
      <c r="T24" s="368"/>
      <c r="U24" s="622"/>
      <c r="V24" s="349"/>
      <c r="W24" s="349"/>
      <c r="X24" s="349"/>
      <c r="Y24" s="349"/>
      <c r="Z24" s="370"/>
      <c r="AA24" s="346">
        <f>SUM(W24:Z24)</f>
        <v>0</v>
      </c>
      <c r="AB24" s="350">
        <v>2000000</v>
      </c>
      <c r="AC24" s="371"/>
      <c r="AD24" s="371"/>
      <c r="AE24" s="371"/>
      <c r="AF24" s="371"/>
      <c r="AG24" s="371"/>
      <c r="AH24" s="371"/>
      <c r="AI24" s="371"/>
      <c r="AJ24" s="371"/>
      <c r="AK24" s="809"/>
      <c r="AL24" s="411"/>
      <c r="AM24" s="629">
        <f t="shared" ref="AM24" si="11">(V24+W24+X24+Y24+Z24+AB24+AC24+AD24+AE24+AF24+AG24+AH24+AI24+AJ24+AK24)-AL24</f>
        <v>2000000</v>
      </c>
      <c r="AN24" s="369"/>
    </row>
    <row r="25" spans="1:40" s="785" customFormat="1" ht="21.75" thickBot="1" x14ac:dyDescent="0.4">
      <c r="A25" s="829" t="s">
        <v>25</v>
      </c>
      <c r="B25" s="830">
        <v>167772603</v>
      </c>
      <c r="C25" s="831">
        <v>46078</v>
      </c>
      <c r="D25" s="832">
        <v>46142</v>
      </c>
      <c r="E25" s="833"/>
      <c r="F25" s="834"/>
      <c r="G25" s="834"/>
      <c r="H25" s="834"/>
      <c r="I25" s="833"/>
      <c r="J25" s="835"/>
      <c r="K25" s="836">
        <f>AB25-AL25</f>
        <v>0</v>
      </c>
      <c r="L25" s="837"/>
      <c r="M25" s="838"/>
      <c r="N25" s="837"/>
      <c r="O25" s="837"/>
      <c r="P25" s="837"/>
      <c r="Q25" s="837"/>
      <c r="R25" s="837"/>
      <c r="S25" s="837"/>
      <c r="T25" s="837"/>
      <c r="U25" s="839"/>
      <c r="V25" s="833"/>
      <c r="W25" s="833"/>
      <c r="X25" s="833"/>
      <c r="Y25" s="833"/>
      <c r="Z25" s="840"/>
      <c r="AA25" s="835">
        <f>SUM(W25:Z25)</f>
        <v>0</v>
      </c>
      <c r="AB25" s="836">
        <v>600000</v>
      </c>
      <c r="AC25" s="837"/>
      <c r="AD25" s="837"/>
      <c r="AE25" s="837"/>
      <c r="AF25" s="837"/>
      <c r="AG25" s="837"/>
      <c r="AH25" s="837"/>
      <c r="AI25" s="837"/>
      <c r="AJ25" s="837"/>
      <c r="AK25" s="1048"/>
      <c r="AL25" s="842">
        <v>600000</v>
      </c>
      <c r="AM25" s="843">
        <f t="shared" ref="AM25" si="12">(V25+W25+X25+Y25+Z25+AB25+AC25+AD25+AE25+AF25+AG25+AH25+AI25+AJ25+AK25)-AL25</f>
        <v>0</v>
      </c>
      <c r="AN25" s="844" t="s">
        <v>420</v>
      </c>
    </row>
    <row r="26" spans="1:40" s="362" customFormat="1" ht="24" customHeight="1" thickBot="1" x14ac:dyDescent="0.4">
      <c r="A26" s="418"/>
      <c r="B26" s="419" t="s">
        <v>24</v>
      </c>
      <c r="C26" s="420"/>
      <c r="D26" s="421"/>
      <c r="E26" s="734">
        <f>SUM(E6:E25)</f>
        <v>266825</v>
      </c>
      <c r="F26" s="734">
        <f t="shared" ref="F26:AL26" si="13">SUM(F6:F25)</f>
        <v>150000</v>
      </c>
      <c r="G26" s="734">
        <f t="shared" si="13"/>
        <v>90000</v>
      </c>
      <c r="H26" s="734">
        <f t="shared" si="13"/>
        <v>92160</v>
      </c>
      <c r="I26" s="734">
        <f t="shared" si="13"/>
        <v>92160</v>
      </c>
      <c r="J26" s="734">
        <f t="shared" si="13"/>
        <v>424320</v>
      </c>
      <c r="K26" s="734">
        <f>SUM(K6:K25)</f>
        <v>2300000</v>
      </c>
      <c r="L26" s="734">
        <f t="shared" si="13"/>
        <v>150000</v>
      </c>
      <c r="M26" s="734">
        <f t="shared" si="13"/>
        <v>0</v>
      </c>
      <c r="N26" s="734">
        <f t="shared" si="13"/>
        <v>0</v>
      </c>
      <c r="O26" s="734">
        <f t="shared" si="13"/>
        <v>0</v>
      </c>
      <c r="P26" s="734">
        <f t="shared" si="13"/>
        <v>4000</v>
      </c>
      <c r="Q26" s="734">
        <f t="shared" si="13"/>
        <v>100000</v>
      </c>
      <c r="R26" s="734">
        <f t="shared" si="13"/>
        <v>0</v>
      </c>
      <c r="S26" s="734">
        <f t="shared" si="13"/>
        <v>0</v>
      </c>
      <c r="T26" s="734">
        <f t="shared" si="13"/>
        <v>0</v>
      </c>
      <c r="U26" s="807">
        <f t="shared" si="13"/>
        <v>0</v>
      </c>
      <c r="V26" s="734">
        <f t="shared" si="13"/>
        <v>462500</v>
      </c>
      <c r="W26" s="734">
        <f t="shared" si="13"/>
        <v>180000</v>
      </c>
      <c r="X26" s="734">
        <f t="shared" si="13"/>
        <v>120000</v>
      </c>
      <c r="Y26" s="734">
        <f t="shared" si="13"/>
        <v>136710</v>
      </c>
      <c r="Z26" s="734">
        <f t="shared" si="13"/>
        <v>141180</v>
      </c>
      <c r="AA26" s="734">
        <f t="shared" si="13"/>
        <v>577890</v>
      </c>
      <c r="AB26" s="734">
        <f t="shared" si="13"/>
        <v>3700000</v>
      </c>
      <c r="AC26" s="734">
        <f t="shared" si="13"/>
        <v>150000</v>
      </c>
      <c r="AD26" s="734">
        <f t="shared" si="13"/>
        <v>0</v>
      </c>
      <c r="AE26" s="734">
        <f t="shared" si="13"/>
        <v>0</v>
      </c>
      <c r="AF26" s="734">
        <f t="shared" si="13"/>
        <v>0</v>
      </c>
      <c r="AG26" s="734">
        <f t="shared" si="13"/>
        <v>4000</v>
      </c>
      <c r="AH26" s="734">
        <f t="shared" si="13"/>
        <v>100000</v>
      </c>
      <c r="AI26" s="734">
        <f t="shared" si="13"/>
        <v>0</v>
      </c>
      <c r="AJ26" s="734">
        <f t="shared" si="13"/>
        <v>0</v>
      </c>
      <c r="AK26" s="734">
        <f t="shared" si="13"/>
        <v>0</v>
      </c>
      <c r="AL26" s="734">
        <f t="shared" si="13"/>
        <v>1749245</v>
      </c>
      <c r="AM26" s="734">
        <f>SUM(AM6:AM25)</f>
        <v>3245145</v>
      </c>
      <c r="AN26" s="426"/>
    </row>
    <row r="27" spans="1:40" s="362" customFormat="1" ht="21.75" thickBot="1" x14ac:dyDescent="0.4">
      <c r="A27" s="363" t="s">
        <v>26</v>
      </c>
      <c r="B27" s="361">
        <v>3408</v>
      </c>
      <c r="C27" s="632" t="s">
        <v>230</v>
      </c>
      <c r="D27" s="633" t="s">
        <v>194</v>
      </c>
      <c r="E27" s="366"/>
      <c r="F27" s="602"/>
      <c r="G27" s="602"/>
      <c r="H27" s="602"/>
      <c r="I27" s="366"/>
      <c r="J27" s="367">
        <f t="shared" ref="J27:J37" si="14">SUM(F27:I27)</f>
        <v>0</v>
      </c>
      <c r="K27" s="693"/>
      <c r="L27" s="368"/>
      <c r="M27" s="434">
        <f>AD27-AL27</f>
        <v>20000</v>
      </c>
      <c r="N27" s="368"/>
      <c r="O27" s="368"/>
      <c r="P27" s="368"/>
      <c r="Q27" s="368"/>
      <c r="R27" s="368"/>
      <c r="S27" s="368"/>
      <c r="T27" s="368"/>
      <c r="U27" s="622"/>
      <c r="V27" s="349"/>
      <c r="W27" s="349"/>
      <c r="X27" s="349"/>
      <c r="Y27" s="349"/>
      <c r="Z27" s="370"/>
      <c r="AA27" s="346">
        <f t="shared" ref="AA27:AA37" si="15">SUM(W27:Z27)</f>
        <v>0</v>
      </c>
      <c r="AB27" s="350"/>
      <c r="AC27" s="371"/>
      <c r="AD27" s="371">
        <v>20000</v>
      </c>
      <c r="AE27" s="371"/>
      <c r="AF27" s="371"/>
      <c r="AG27" s="371"/>
      <c r="AH27" s="371"/>
      <c r="AI27" s="371"/>
      <c r="AJ27" s="371"/>
      <c r="AK27" s="413"/>
      <c r="AL27" s="411"/>
      <c r="AM27" s="629">
        <f t="shared" ref="AM27:AM44" si="16">(V27+W27+X27+Y27+Z27+AB27+AC27+AD27+AE27+AF27+AG27+AH27+AI27+AJ27+AK27)-AL27</f>
        <v>20000</v>
      </c>
      <c r="AN27" s="369"/>
    </row>
    <row r="28" spans="1:40" s="362" customFormat="1" ht="21.75" thickBot="1" x14ac:dyDescent="0.4">
      <c r="A28" s="829" t="s">
        <v>26</v>
      </c>
      <c r="B28" s="830">
        <v>3448</v>
      </c>
      <c r="C28" s="831" t="s">
        <v>357</v>
      </c>
      <c r="D28" s="832" t="s">
        <v>361</v>
      </c>
      <c r="E28" s="833">
        <f t="shared" ref="E28:E35" si="17">V28-AL28</f>
        <v>0</v>
      </c>
      <c r="F28" s="834"/>
      <c r="G28" s="834"/>
      <c r="H28" s="834"/>
      <c r="I28" s="833"/>
      <c r="J28" s="835">
        <f t="shared" si="14"/>
        <v>0</v>
      </c>
      <c r="K28" s="836"/>
      <c r="L28" s="837"/>
      <c r="M28" s="838"/>
      <c r="N28" s="837"/>
      <c r="O28" s="837"/>
      <c r="P28" s="837"/>
      <c r="Q28" s="837"/>
      <c r="R28" s="837"/>
      <c r="S28" s="837"/>
      <c r="T28" s="837"/>
      <c r="U28" s="839"/>
      <c r="V28" s="833">
        <v>212500</v>
      </c>
      <c r="W28" s="833"/>
      <c r="X28" s="833"/>
      <c r="Y28" s="833"/>
      <c r="Z28" s="840"/>
      <c r="AA28" s="835">
        <f t="shared" si="15"/>
        <v>0</v>
      </c>
      <c r="AB28" s="836"/>
      <c r="AC28" s="837"/>
      <c r="AD28" s="837"/>
      <c r="AE28" s="837"/>
      <c r="AF28" s="837"/>
      <c r="AG28" s="837"/>
      <c r="AH28" s="837"/>
      <c r="AI28" s="837"/>
      <c r="AJ28" s="837"/>
      <c r="AK28" s="841"/>
      <c r="AL28" s="842">
        <f>12500+200000</f>
        <v>212500</v>
      </c>
      <c r="AM28" s="843">
        <f t="shared" si="16"/>
        <v>0</v>
      </c>
      <c r="AN28" s="844" t="s">
        <v>390</v>
      </c>
    </row>
    <row r="29" spans="1:40" s="362" customFormat="1" ht="21.75" thickBot="1" x14ac:dyDescent="0.4">
      <c r="A29" s="363" t="s">
        <v>26</v>
      </c>
      <c r="B29" s="361">
        <v>3449</v>
      </c>
      <c r="C29" s="632" t="s">
        <v>358</v>
      </c>
      <c r="D29" s="633" t="s">
        <v>362</v>
      </c>
      <c r="E29" s="366"/>
      <c r="F29" s="602">
        <f>W29-AL29</f>
        <v>22800</v>
      </c>
      <c r="G29" s="602"/>
      <c r="H29" s="602"/>
      <c r="I29" s="366"/>
      <c r="J29" s="367">
        <f t="shared" si="14"/>
        <v>22800</v>
      </c>
      <c r="K29" s="693"/>
      <c r="L29" s="368"/>
      <c r="M29" s="434"/>
      <c r="N29" s="368"/>
      <c r="O29" s="368"/>
      <c r="P29" s="368"/>
      <c r="Q29" s="368"/>
      <c r="R29" s="368"/>
      <c r="S29" s="368"/>
      <c r="T29" s="368"/>
      <c r="U29" s="622"/>
      <c r="V29" s="349"/>
      <c r="W29" s="349">
        <v>30000</v>
      </c>
      <c r="X29" s="349"/>
      <c r="Y29" s="349"/>
      <c r="Z29" s="370"/>
      <c r="AA29" s="346">
        <f t="shared" si="15"/>
        <v>30000</v>
      </c>
      <c r="AB29" s="350"/>
      <c r="AC29" s="371"/>
      <c r="AD29" s="371"/>
      <c r="AE29" s="371"/>
      <c r="AF29" s="371"/>
      <c r="AG29" s="371"/>
      <c r="AH29" s="371"/>
      <c r="AI29" s="371"/>
      <c r="AJ29" s="371"/>
      <c r="AK29" s="413"/>
      <c r="AL29" s="411">
        <v>7200</v>
      </c>
      <c r="AM29" s="629">
        <f t="shared" si="16"/>
        <v>22800</v>
      </c>
      <c r="AN29" s="369" t="s">
        <v>386</v>
      </c>
    </row>
    <row r="30" spans="1:40" s="362" customFormat="1" ht="21.75" thickBot="1" x14ac:dyDescent="0.4">
      <c r="A30" s="363" t="s">
        <v>26</v>
      </c>
      <c r="B30" s="361">
        <v>3462</v>
      </c>
      <c r="C30" s="632">
        <v>45964</v>
      </c>
      <c r="D30" s="633">
        <v>46142</v>
      </c>
      <c r="E30" s="366">
        <f t="shared" si="17"/>
        <v>0</v>
      </c>
      <c r="F30" s="602">
        <f t="shared" ref="F30:F35" si="18">W30-AL30</f>
        <v>60000</v>
      </c>
      <c r="G30" s="602"/>
      <c r="H30" s="602"/>
      <c r="I30" s="366"/>
      <c r="J30" s="367">
        <f t="shared" si="14"/>
        <v>60000</v>
      </c>
      <c r="K30" s="693"/>
      <c r="L30" s="368"/>
      <c r="M30" s="434"/>
      <c r="N30" s="368"/>
      <c r="O30" s="368"/>
      <c r="P30" s="368"/>
      <c r="Q30" s="368"/>
      <c r="R30" s="368"/>
      <c r="S30" s="368"/>
      <c r="T30" s="368"/>
      <c r="U30" s="622"/>
      <c r="V30" s="349"/>
      <c r="W30" s="349">
        <v>60000</v>
      </c>
      <c r="X30" s="349"/>
      <c r="Y30" s="349"/>
      <c r="Z30" s="370"/>
      <c r="AA30" s="346">
        <f t="shared" si="15"/>
        <v>60000</v>
      </c>
      <c r="AB30" s="350"/>
      <c r="AC30" s="371"/>
      <c r="AD30" s="371"/>
      <c r="AE30" s="371"/>
      <c r="AF30" s="371"/>
      <c r="AG30" s="371"/>
      <c r="AH30" s="371"/>
      <c r="AI30" s="371"/>
      <c r="AJ30" s="371"/>
      <c r="AK30" s="413"/>
      <c r="AL30" s="411"/>
      <c r="AM30" s="629">
        <f t="shared" si="16"/>
        <v>60000</v>
      </c>
      <c r="AN30" s="369"/>
    </row>
    <row r="31" spans="1:40" s="362" customFormat="1" ht="21.75" thickBot="1" x14ac:dyDescent="0.4">
      <c r="A31" s="363" t="s">
        <v>26</v>
      </c>
      <c r="B31" s="361">
        <v>3462</v>
      </c>
      <c r="C31" s="632">
        <v>45964</v>
      </c>
      <c r="D31" s="633">
        <v>46142</v>
      </c>
      <c r="E31" s="366">
        <f t="shared" si="17"/>
        <v>0</v>
      </c>
      <c r="F31" s="602">
        <f t="shared" si="18"/>
        <v>0</v>
      </c>
      <c r="G31" s="602">
        <f t="shared" ref="G31:G35" si="19">X31-AL31</f>
        <v>60000</v>
      </c>
      <c r="H31" s="602"/>
      <c r="I31" s="366"/>
      <c r="J31" s="367">
        <f t="shared" si="14"/>
        <v>60000</v>
      </c>
      <c r="K31" s="693"/>
      <c r="L31" s="368"/>
      <c r="M31" s="434"/>
      <c r="N31" s="368"/>
      <c r="O31" s="368"/>
      <c r="P31" s="368"/>
      <c r="Q31" s="368"/>
      <c r="R31" s="368"/>
      <c r="S31" s="368"/>
      <c r="T31" s="368"/>
      <c r="U31" s="622"/>
      <c r="V31" s="349"/>
      <c r="W31" s="349"/>
      <c r="X31" s="349">
        <v>60000</v>
      </c>
      <c r="Y31" s="349"/>
      <c r="Z31" s="370"/>
      <c r="AA31" s="346">
        <f t="shared" si="15"/>
        <v>60000</v>
      </c>
      <c r="AB31" s="350"/>
      <c r="AC31" s="371"/>
      <c r="AD31" s="371"/>
      <c r="AE31" s="371"/>
      <c r="AF31" s="371"/>
      <c r="AG31" s="371"/>
      <c r="AH31" s="371"/>
      <c r="AI31" s="371"/>
      <c r="AJ31" s="371"/>
      <c r="AK31" s="413"/>
      <c r="AL31" s="411"/>
      <c r="AM31" s="629">
        <f t="shared" si="16"/>
        <v>60000</v>
      </c>
      <c r="AN31" s="369"/>
    </row>
    <row r="32" spans="1:40" s="362" customFormat="1" ht="21.75" thickBot="1" x14ac:dyDescent="0.4">
      <c r="A32" s="363" t="s">
        <v>26</v>
      </c>
      <c r="B32" s="361">
        <v>3462</v>
      </c>
      <c r="C32" s="632">
        <v>45964</v>
      </c>
      <c r="D32" s="633">
        <v>46142</v>
      </c>
      <c r="E32" s="366">
        <f>V32-AL32</f>
        <v>0</v>
      </c>
      <c r="F32" s="602">
        <f>W32-AL32</f>
        <v>0</v>
      </c>
      <c r="G32" s="602">
        <f>X32-AL32</f>
        <v>0</v>
      </c>
      <c r="H32" s="602">
        <f>Y32-AL32</f>
        <v>30000</v>
      </c>
      <c r="I32" s="366"/>
      <c r="J32" s="367">
        <f>SUM(F32:I32)</f>
        <v>30000</v>
      </c>
      <c r="K32" s="693"/>
      <c r="L32" s="368"/>
      <c r="M32" s="434"/>
      <c r="N32" s="368"/>
      <c r="O32" s="368"/>
      <c r="P32" s="368"/>
      <c r="Q32" s="368"/>
      <c r="R32" s="368"/>
      <c r="S32" s="368"/>
      <c r="T32" s="368"/>
      <c r="U32" s="622"/>
      <c r="V32" s="349"/>
      <c r="W32" s="349"/>
      <c r="X32" s="349"/>
      <c r="Y32" s="349">
        <v>30000</v>
      </c>
      <c r="Z32" s="370"/>
      <c r="AA32" s="346">
        <f>SUM(W32:Z32)</f>
        <v>30000</v>
      </c>
      <c r="AB32" s="350"/>
      <c r="AC32" s="371"/>
      <c r="AD32" s="371"/>
      <c r="AE32" s="371"/>
      <c r="AF32" s="371"/>
      <c r="AG32" s="371"/>
      <c r="AH32" s="371"/>
      <c r="AI32" s="371"/>
      <c r="AJ32" s="371"/>
      <c r="AK32" s="413"/>
      <c r="AL32" s="411"/>
      <c r="AM32" s="629">
        <f>(V32+W32+X32+Y32+Z32+AB32+AC32+AD32+AE32+AF32+AG32+AH32+AI32+AJ32+AK32)-AL32</f>
        <v>30000</v>
      </c>
      <c r="AN32" s="369"/>
    </row>
    <row r="33" spans="1:40" s="362" customFormat="1" ht="21.75" thickBot="1" x14ac:dyDescent="0.4">
      <c r="A33" s="810" t="s">
        <v>26</v>
      </c>
      <c r="B33" s="811">
        <v>3449</v>
      </c>
      <c r="C33" s="812" t="s">
        <v>357</v>
      </c>
      <c r="D33" s="813" t="s">
        <v>361</v>
      </c>
      <c r="E33" s="814"/>
      <c r="F33" s="815"/>
      <c r="G33" s="815">
        <f t="shared" si="19"/>
        <v>0</v>
      </c>
      <c r="H33" s="815"/>
      <c r="I33" s="814"/>
      <c r="J33" s="816">
        <f t="shared" si="14"/>
        <v>0</v>
      </c>
      <c r="K33" s="817"/>
      <c r="L33" s="818"/>
      <c r="M33" s="819"/>
      <c r="N33" s="818"/>
      <c r="O33" s="818"/>
      <c r="P33" s="818"/>
      <c r="Q33" s="818"/>
      <c r="R33" s="818"/>
      <c r="S33" s="818"/>
      <c r="T33" s="818"/>
      <c r="U33" s="820"/>
      <c r="V33" s="814"/>
      <c r="W33" s="814"/>
      <c r="X33" s="814">
        <v>9540</v>
      </c>
      <c r="Y33" s="814"/>
      <c r="Z33" s="821"/>
      <c r="AA33" s="816">
        <f t="shared" si="15"/>
        <v>9540</v>
      </c>
      <c r="AB33" s="817"/>
      <c r="AC33" s="818"/>
      <c r="AD33" s="818"/>
      <c r="AE33" s="818"/>
      <c r="AF33" s="818"/>
      <c r="AG33" s="818"/>
      <c r="AH33" s="818"/>
      <c r="AI33" s="818"/>
      <c r="AJ33" s="818"/>
      <c r="AK33" s="822"/>
      <c r="AL33" s="823">
        <v>9540</v>
      </c>
      <c r="AM33" s="824">
        <f t="shared" si="16"/>
        <v>0</v>
      </c>
      <c r="AN33" s="825" t="s">
        <v>387</v>
      </c>
    </row>
    <row r="34" spans="1:40" s="362" customFormat="1" ht="21.75" thickBot="1" x14ac:dyDescent="0.4">
      <c r="A34" s="810" t="s">
        <v>26</v>
      </c>
      <c r="B34" s="811">
        <v>3449</v>
      </c>
      <c r="C34" s="812" t="s">
        <v>358</v>
      </c>
      <c r="D34" s="813" t="s">
        <v>362</v>
      </c>
      <c r="E34" s="814"/>
      <c r="F34" s="815"/>
      <c r="G34" s="815"/>
      <c r="H34" s="815">
        <f>Y34-AL34</f>
        <v>0</v>
      </c>
      <c r="I34" s="814"/>
      <c r="J34" s="816">
        <f t="shared" si="14"/>
        <v>0</v>
      </c>
      <c r="K34" s="817"/>
      <c r="L34" s="818"/>
      <c r="M34" s="819"/>
      <c r="N34" s="818"/>
      <c r="O34" s="818"/>
      <c r="P34" s="818"/>
      <c r="Q34" s="818"/>
      <c r="R34" s="818"/>
      <c r="S34" s="818"/>
      <c r="T34" s="818"/>
      <c r="U34" s="820"/>
      <c r="V34" s="814"/>
      <c r="W34" s="814"/>
      <c r="X34" s="814"/>
      <c r="Y34" s="814">
        <v>30000</v>
      </c>
      <c r="Z34" s="821"/>
      <c r="AA34" s="816">
        <f t="shared" si="15"/>
        <v>30000</v>
      </c>
      <c r="AB34" s="817"/>
      <c r="AC34" s="818"/>
      <c r="AD34" s="818"/>
      <c r="AE34" s="818"/>
      <c r="AF34" s="818"/>
      <c r="AG34" s="818"/>
      <c r="AH34" s="818"/>
      <c r="AI34" s="818"/>
      <c r="AJ34" s="818"/>
      <c r="AK34" s="822"/>
      <c r="AL34" s="823">
        <v>30000</v>
      </c>
      <c r="AM34" s="828">
        <f t="shared" si="16"/>
        <v>0</v>
      </c>
      <c r="AN34" s="825" t="s">
        <v>388</v>
      </c>
    </row>
    <row r="35" spans="1:40" s="362" customFormat="1" ht="21.75" thickBot="1" x14ac:dyDescent="0.4">
      <c r="A35" s="363" t="s">
        <v>26</v>
      </c>
      <c r="B35" s="361">
        <v>3463</v>
      </c>
      <c r="C35" s="632" t="s">
        <v>357</v>
      </c>
      <c r="D35" s="633" t="s">
        <v>361</v>
      </c>
      <c r="E35" s="366">
        <f t="shared" si="17"/>
        <v>0</v>
      </c>
      <c r="F35" s="602">
        <f t="shared" si="18"/>
        <v>0</v>
      </c>
      <c r="G35" s="602">
        <f t="shared" si="19"/>
        <v>0</v>
      </c>
      <c r="H35" s="602">
        <f>Y35-AL35</f>
        <v>0</v>
      </c>
      <c r="I35" s="366">
        <f>Z35</f>
        <v>30000</v>
      </c>
      <c r="J35" s="367">
        <f t="shared" si="14"/>
        <v>30000</v>
      </c>
      <c r="K35" s="693"/>
      <c r="L35" s="368"/>
      <c r="M35" s="434"/>
      <c r="N35" s="368"/>
      <c r="O35" s="368"/>
      <c r="P35" s="368"/>
      <c r="Q35" s="368"/>
      <c r="R35" s="368"/>
      <c r="S35" s="368"/>
      <c r="T35" s="368"/>
      <c r="U35" s="622"/>
      <c r="V35" s="349"/>
      <c r="W35" s="349"/>
      <c r="X35" s="349"/>
      <c r="Y35" s="349">
        <v>0</v>
      </c>
      <c r="Z35" s="370">
        <v>30000</v>
      </c>
      <c r="AA35" s="346">
        <f t="shared" si="15"/>
        <v>30000</v>
      </c>
      <c r="AB35" s="350"/>
      <c r="AC35" s="371"/>
      <c r="AD35" s="371"/>
      <c r="AE35" s="371"/>
      <c r="AF35" s="371"/>
      <c r="AG35" s="371"/>
      <c r="AH35" s="371"/>
      <c r="AI35" s="371"/>
      <c r="AJ35" s="371"/>
      <c r="AK35" s="413"/>
      <c r="AL35" s="411"/>
      <c r="AM35" s="629">
        <f t="shared" si="16"/>
        <v>30000</v>
      </c>
      <c r="AN35" s="369"/>
    </row>
    <row r="36" spans="1:40" s="362" customFormat="1" ht="21.75" thickBot="1" x14ac:dyDescent="0.4">
      <c r="A36" s="363" t="s">
        <v>26</v>
      </c>
      <c r="B36" s="361">
        <v>3449</v>
      </c>
      <c r="C36" s="632" t="s">
        <v>358</v>
      </c>
      <c r="D36" s="633" t="s">
        <v>362</v>
      </c>
      <c r="E36" s="366"/>
      <c r="F36" s="602"/>
      <c r="G36" s="602"/>
      <c r="H36" s="602"/>
      <c r="I36" s="366">
        <f>Z36-AL36</f>
        <v>22800</v>
      </c>
      <c r="J36" s="367">
        <f t="shared" si="14"/>
        <v>22800</v>
      </c>
      <c r="K36" s="693"/>
      <c r="L36" s="368"/>
      <c r="M36" s="434"/>
      <c r="N36" s="368"/>
      <c r="O36" s="368"/>
      <c r="P36" s="368"/>
      <c r="Q36" s="368"/>
      <c r="R36" s="368"/>
      <c r="S36" s="368"/>
      <c r="T36" s="368"/>
      <c r="U36" s="622"/>
      <c r="V36" s="349"/>
      <c r="W36" s="349"/>
      <c r="X36" s="349"/>
      <c r="Y36" s="349"/>
      <c r="Z36" s="370">
        <v>30000</v>
      </c>
      <c r="AA36" s="346">
        <f t="shared" si="15"/>
        <v>30000</v>
      </c>
      <c r="AB36" s="350"/>
      <c r="AC36" s="371"/>
      <c r="AD36" s="371"/>
      <c r="AE36" s="371"/>
      <c r="AF36" s="371"/>
      <c r="AG36" s="371"/>
      <c r="AH36" s="371"/>
      <c r="AI36" s="371"/>
      <c r="AJ36" s="371"/>
      <c r="AK36" s="413"/>
      <c r="AL36" s="411">
        <v>7200</v>
      </c>
      <c r="AM36" s="629">
        <f t="shared" si="16"/>
        <v>22800</v>
      </c>
      <c r="AN36" s="369" t="s">
        <v>386</v>
      </c>
    </row>
    <row r="37" spans="1:40" s="362" customFormat="1" ht="21.75" thickBot="1" x14ac:dyDescent="0.4">
      <c r="A37" s="810" t="s">
        <v>26</v>
      </c>
      <c r="B37" s="811">
        <v>3449</v>
      </c>
      <c r="C37" s="812" t="s">
        <v>358</v>
      </c>
      <c r="D37" s="813" t="s">
        <v>362</v>
      </c>
      <c r="E37" s="814"/>
      <c r="F37" s="815"/>
      <c r="G37" s="815"/>
      <c r="H37" s="815"/>
      <c r="I37" s="814"/>
      <c r="J37" s="816">
        <f t="shared" si="14"/>
        <v>0</v>
      </c>
      <c r="K37" s="817">
        <f>AB37-AL37</f>
        <v>0</v>
      </c>
      <c r="L37" s="818"/>
      <c r="M37" s="819"/>
      <c r="N37" s="818"/>
      <c r="O37" s="818"/>
      <c r="P37" s="818"/>
      <c r="Q37" s="818"/>
      <c r="R37" s="818"/>
      <c r="S37" s="818"/>
      <c r="T37" s="818"/>
      <c r="U37" s="820"/>
      <c r="V37" s="814"/>
      <c r="W37" s="814"/>
      <c r="X37" s="814"/>
      <c r="Y37" s="814"/>
      <c r="Z37" s="821"/>
      <c r="AA37" s="816">
        <f t="shared" si="15"/>
        <v>0</v>
      </c>
      <c r="AB37" s="817">
        <v>400000</v>
      </c>
      <c r="AC37" s="818"/>
      <c r="AD37" s="818"/>
      <c r="AE37" s="818"/>
      <c r="AF37" s="818"/>
      <c r="AG37" s="818"/>
      <c r="AH37" s="818"/>
      <c r="AI37" s="818"/>
      <c r="AJ37" s="818"/>
      <c r="AK37" s="822"/>
      <c r="AL37" s="823">
        <v>400000</v>
      </c>
      <c r="AM37" s="824">
        <f t="shared" si="16"/>
        <v>0</v>
      </c>
      <c r="AN37" s="825" t="s">
        <v>389</v>
      </c>
    </row>
    <row r="38" spans="1:40" s="362" customFormat="1" ht="21.75" thickBot="1" x14ac:dyDescent="0.4">
      <c r="A38" s="363" t="s">
        <v>26</v>
      </c>
      <c r="B38" s="361">
        <v>3467</v>
      </c>
      <c r="C38" s="632" t="s">
        <v>364</v>
      </c>
      <c r="D38" s="786" t="s">
        <v>361</v>
      </c>
      <c r="E38" s="795"/>
      <c r="F38" s="602"/>
      <c r="G38" s="602"/>
      <c r="H38" s="602"/>
      <c r="I38" s="366"/>
      <c r="J38" s="367"/>
      <c r="K38" s="693"/>
      <c r="L38" s="368"/>
      <c r="M38" s="434"/>
      <c r="N38" s="368">
        <f>AE38-AL38</f>
        <v>4000</v>
      </c>
      <c r="O38" s="368"/>
      <c r="P38" s="368"/>
      <c r="Q38" s="368"/>
      <c r="R38" s="368"/>
      <c r="S38" s="368"/>
      <c r="T38" s="368"/>
      <c r="U38" s="622"/>
      <c r="V38" s="349"/>
      <c r="W38" s="349"/>
      <c r="X38" s="349"/>
      <c r="Y38" s="349"/>
      <c r="Z38" s="370"/>
      <c r="AA38" s="346"/>
      <c r="AB38" s="350"/>
      <c r="AC38" s="371"/>
      <c r="AD38" s="371"/>
      <c r="AE38" s="371">
        <v>4000</v>
      </c>
      <c r="AF38" s="371"/>
      <c r="AG38" s="371"/>
      <c r="AH38" s="371"/>
      <c r="AI38" s="371"/>
      <c r="AJ38" s="371"/>
      <c r="AK38" s="413"/>
      <c r="AL38" s="411"/>
      <c r="AM38" s="629">
        <f t="shared" si="16"/>
        <v>4000</v>
      </c>
      <c r="AN38" s="369"/>
    </row>
    <row r="39" spans="1:40" s="362" customFormat="1" ht="21.75" thickBot="1" x14ac:dyDescent="0.4">
      <c r="A39" s="363" t="s">
        <v>26</v>
      </c>
      <c r="B39" s="361">
        <v>3467</v>
      </c>
      <c r="C39" s="632" t="s">
        <v>364</v>
      </c>
      <c r="D39" s="633" t="s">
        <v>361</v>
      </c>
      <c r="E39" s="795"/>
      <c r="F39" s="602"/>
      <c r="G39" s="602"/>
      <c r="H39" s="602"/>
      <c r="I39" s="366"/>
      <c r="J39" s="367"/>
      <c r="K39" s="693"/>
      <c r="L39" s="368"/>
      <c r="M39" s="434">
        <f>AD39-AL39</f>
        <v>0</v>
      </c>
      <c r="N39" s="368"/>
      <c r="O39" s="368"/>
      <c r="P39" s="368"/>
      <c r="Q39" s="368"/>
      <c r="R39" s="368"/>
      <c r="S39" s="368"/>
      <c r="T39" s="368"/>
      <c r="U39" s="622"/>
      <c r="V39" s="349"/>
      <c r="W39" s="349"/>
      <c r="X39" s="349"/>
      <c r="Y39" s="349"/>
      <c r="Z39" s="370"/>
      <c r="AA39" s="346"/>
      <c r="AB39" s="350"/>
      <c r="AC39" s="371"/>
      <c r="AD39" s="371">
        <v>10000</v>
      </c>
      <c r="AE39" s="371"/>
      <c r="AF39" s="371"/>
      <c r="AG39" s="371"/>
      <c r="AH39" s="371"/>
      <c r="AI39" s="371"/>
      <c r="AJ39" s="371"/>
      <c r="AK39" s="413"/>
      <c r="AL39" s="411">
        <v>10000</v>
      </c>
      <c r="AM39" s="629">
        <f t="shared" si="16"/>
        <v>0</v>
      </c>
      <c r="AN39" s="369" t="s">
        <v>381</v>
      </c>
    </row>
    <row r="40" spans="1:40" s="362" customFormat="1" ht="21.75" thickBot="1" x14ac:dyDescent="0.4">
      <c r="A40" s="363" t="s">
        <v>26</v>
      </c>
      <c r="B40" s="361">
        <v>3465</v>
      </c>
      <c r="C40" s="632" t="s">
        <v>364</v>
      </c>
      <c r="D40" s="633" t="s">
        <v>361</v>
      </c>
      <c r="E40" s="366"/>
      <c r="F40" s="602"/>
      <c r="G40" s="602"/>
      <c r="H40" s="602"/>
      <c r="I40" s="366"/>
      <c r="J40" s="367"/>
      <c r="K40" s="693">
        <f>AB40-AL40</f>
        <v>200000</v>
      </c>
      <c r="L40" s="368"/>
      <c r="M40" s="434"/>
      <c r="N40" s="368"/>
      <c r="O40" s="368"/>
      <c r="P40" s="368"/>
      <c r="Q40" s="368"/>
      <c r="R40" s="368"/>
      <c r="S40" s="368"/>
      <c r="T40" s="368"/>
      <c r="U40" s="622"/>
      <c r="V40" s="349"/>
      <c r="W40" s="349"/>
      <c r="X40" s="349"/>
      <c r="Y40" s="349"/>
      <c r="Z40" s="370"/>
      <c r="AA40" s="346"/>
      <c r="AB40" s="350">
        <v>200000</v>
      </c>
      <c r="AC40" s="371"/>
      <c r="AD40" s="371"/>
      <c r="AE40" s="371"/>
      <c r="AF40" s="371"/>
      <c r="AG40" s="371"/>
      <c r="AH40" s="371"/>
      <c r="AI40" s="371"/>
      <c r="AJ40" s="371"/>
      <c r="AK40" s="413"/>
      <c r="AL40" s="411"/>
      <c r="AM40" s="629">
        <f t="shared" si="16"/>
        <v>200000</v>
      </c>
      <c r="AN40" s="369"/>
    </row>
    <row r="41" spans="1:40" s="362" customFormat="1" ht="21.75" thickBot="1" x14ac:dyDescent="0.4">
      <c r="A41" s="363" t="s">
        <v>26</v>
      </c>
      <c r="B41" s="792">
        <v>3466</v>
      </c>
      <c r="C41" s="786" t="s">
        <v>364</v>
      </c>
      <c r="D41" s="633" t="s">
        <v>361</v>
      </c>
      <c r="E41" s="366"/>
      <c r="F41" s="602"/>
      <c r="G41" s="602"/>
      <c r="H41" s="602"/>
      <c r="I41" s="366"/>
      <c r="J41" s="367"/>
      <c r="K41" s="693"/>
      <c r="L41" s="368">
        <f>AC41-AL41</f>
        <v>124400</v>
      </c>
      <c r="M41" s="434"/>
      <c r="N41" s="368"/>
      <c r="O41" s="368"/>
      <c r="P41" s="368"/>
      <c r="Q41" s="368"/>
      <c r="R41" s="368"/>
      <c r="S41" s="368"/>
      <c r="T41" s="368"/>
      <c r="U41" s="622"/>
      <c r="V41" s="349"/>
      <c r="W41" s="349"/>
      <c r="X41" s="349"/>
      <c r="Y41" s="349"/>
      <c r="Z41" s="370"/>
      <c r="AA41" s="346"/>
      <c r="AB41" s="350"/>
      <c r="AC41" s="371">
        <v>200000</v>
      </c>
      <c r="AD41" s="371"/>
      <c r="AE41" s="371"/>
      <c r="AF41" s="371"/>
      <c r="AG41" s="371"/>
      <c r="AH41" s="371"/>
      <c r="AI41" s="371"/>
      <c r="AJ41" s="371"/>
      <c r="AK41" s="413"/>
      <c r="AL41" s="411">
        <v>75600</v>
      </c>
      <c r="AM41" s="629">
        <f t="shared" si="16"/>
        <v>124400</v>
      </c>
      <c r="AN41" s="369" t="s">
        <v>382</v>
      </c>
    </row>
    <row r="42" spans="1:40" s="362" customFormat="1" ht="21.75" thickBot="1" x14ac:dyDescent="0.4">
      <c r="A42" s="363" t="s">
        <v>26</v>
      </c>
      <c r="B42" s="792">
        <v>3465</v>
      </c>
      <c r="C42" s="786" t="s">
        <v>364</v>
      </c>
      <c r="D42" s="633" t="s">
        <v>361</v>
      </c>
      <c r="E42" s="366"/>
      <c r="F42" s="602"/>
      <c r="G42" s="602"/>
      <c r="H42" s="602"/>
      <c r="I42" s="366"/>
      <c r="J42" s="367"/>
      <c r="K42" s="693"/>
      <c r="L42" s="368"/>
      <c r="M42" s="434"/>
      <c r="N42" s="368"/>
      <c r="O42" s="368"/>
      <c r="P42" s="368"/>
      <c r="Q42" s="368">
        <f>AH42-AL42</f>
        <v>100000</v>
      </c>
      <c r="R42" s="368"/>
      <c r="S42" s="368"/>
      <c r="T42" s="368"/>
      <c r="U42" s="622"/>
      <c r="V42" s="349"/>
      <c r="W42" s="349"/>
      <c r="X42" s="349"/>
      <c r="Y42" s="349"/>
      <c r="Z42" s="370"/>
      <c r="AA42" s="346"/>
      <c r="AB42" s="350"/>
      <c r="AC42" s="371"/>
      <c r="AD42" s="371"/>
      <c r="AE42" s="371"/>
      <c r="AF42" s="371"/>
      <c r="AG42" s="371"/>
      <c r="AH42" s="371">
        <v>100000</v>
      </c>
      <c r="AI42" s="371"/>
      <c r="AJ42" s="371"/>
      <c r="AK42" s="413"/>
      <c r="AL42" s="411"/>
      <c r="AM42" s="629">
        <f t="shared" si="16"/>
        <v>100000</v>
      </c>
      <c r="AN42" s="369"/>
    </row>
    <row r="43" spans="1:40" s="362" customFormat="1" ht="21.75" thickBot="1" x14ac:dyDescent="0.4">
      <c r="A43" s="363" t="s">
        <v>26</v>
      </c>
      <c r="B43" s="792">
        <v>3464</v>
      </c>
      <c r="C43" s="786" t="s">
        <v>364</v>
      </c>
      <c r="D43" s="633" t="s">
        <v>361</v>
      </c>
      <c r="E43" s="366"/>
      <c r="F43" s="602"/>
      <c r="G43" s="602"/>
      <c r="H43" s="602"/>
      <c r="I43" s="366"/>
      <c r="J43" s="367"/>
      <c r="K43" s="693"/>
      <c r="L43" s="368"/>
      <c r="M43" s="434"/>
      <c r="N43" s="368"/>
      <c r="O43" s="368"/>
      <c r="P43" s="368">
        <f>AG43-AL46</f>
        <v>1000</v>
      </c>
      <c r="Q43" s="368"/>
      <c r="R43" s="368"/>
      <c r="S43" s="368"/>
      <c r="T43" s="368"/>
      <c r="U43" s="622"/>
      <c r="V43" s="349"/>
      <c r="W43" s="349"/>
      <c r="X43" s="349"/>
      <c r="Y43" s="349"/>
      <c r="Z43" s="370"/>
      <c r="AA43" s="346"/>
      <c r="AB43" s="350"/>
      <c r="AC43" s="371"/>
      <c r="AD43" s="371"/>
      <c r="AE43" s="371"/>
      <c r="AF43" s="371"/>
      <c r="AG43" s="371">
        <v>1000</v>
      </c>
      <c r="AH43" s="371"/>
      <c r="AI43" s="371"/>
      <c r="AJ43" s="371"/>
      <c r="AK43" s="413"/>
      <c r="AL43" s="411"/>
      <c r="AM43" s="629">
        <f t="shared" si="16"/>
        <v>1000</v>
      </c>
      <c r="AN43" s="369"/>
    </row>
    <row r="44" spans="1:40" s="362" customFormat="1" ht="21.75" thickBot="1" x14ac:dyDescent="0.4">
      <c r="A44" s="363" t="s">
        <v>26</v>
      </c>
      <c r="B44" s="789">
        <v>3542</v>
      </c>
      <c r="C44" s="632">
        <v>45996</v>
      </c>
      <c r="D44" s="786">
        <v>46203</v>
      </c>
      <c r="E44" s="366">
        <f>V44-AL44</f>
        <v>125000</v>
      </c>
      <c r="F44" s="602"/>
      <c r="G44" s="602"/>
      <c r="H44" s="602"/>
      <c r="I44" s="366"/>
      <c r="J44" s="367"/>
      <c r="K44" s="366"/>
      <c r="L44" s="368"/>
      <c r="M44" s="434"/>
      <c r="N44" s="368"/>
      <c r="O44" s="368"/>
      <c r="P44" s="368"/>
      <c r="Q44" s="368"/>
      <c r="R44" s="368"/>
      <c r="S44" s="368"/>
      <c r="T44" s="368"/>
      <c r="U44" s="622"/>
      <c r="V44" s="349">
        <v>125000</v>
      </c>
      <c r="W44" s="349"/>
      <c r="X44" s="349"/>
      <c r="Y44" s="349"/>
      <c r="Z44" s="370"/>
      <c r="AA44" s="346"/>
      <c r="AB44" s="349"/>
      <c r="AC44" s="371"/>
      <c r="AD44" s="371"/>
      <c r="AE44" s="371"/>
      <c r="AF44" s="371"/>
      <c r="AG44" s="371"/>
      <c r="AH44" s="371"/>
      <c r="AI44" s="371"/>
      <c r="AJ44" s="371"/>
      <c r="AK44" s="413"/>
      <c r="AL44" s="411"/>
      <c r="AM44" s="629">
        <f t="shared" si="16"/>
        <v>125000</v>
      </c>
      <c r="AN44" s="369"/>
    </row>
    <row r="45" spans="1:40" s="362" customFormat="1" ht="21.75" thickBot="1" x14ac:dyDescent="0.4">
      <c r="A45" s="363" t="s">
        <v>26</v>
      </c>
      <c r="B45" s="827">
        <v>3583</v>
      </c>
      <c r="C45" s="632">
        <v>46078</v>
      </c>
      <c r="D45" s="633">
        <v>46142</v>
      </c>
      <c r="E45" s="366">
        <f t="shared" ref="E45" si="20">V45-AL45</f>
        <v>0</v>
      </c>
      <c r="F45" s="602">
        <f t="shared" ref="F45" si="21">W45-AL45</f>
        <v>0</v>
      </c>
      <c r="G45" s="602">
        <f t="shared" ref="G45" si="22">X45-AL45</f>
        <v>0</v>
      </c>
      <c r="H45" s="602">
        <f>Y45-AL45</f>
        <v>0</v>
      </c>
      <c r="I45" s="366">
        <f>Z45-AL45</f>
        <v>0</v>
      </c>
      <c r="J45" s="367">
        <f t="shared" ref="J45" si="23">SUM(F45:I45)</f>
        <v>0</v>
      </c>
      <c r="K45" s="693">
        <f>AB45-AL45</f>
        <v>1000000</v>
      </c>
      <c r="L45" s="368"/>
      <c r="M45" s="434"/>
      <c r="N45" s="368"/>
      <c r="O45" s="368"/>
      <c r="P45" s="368"/>
      <c r="Q45" s="368"/>
      <c r="R45" s="368"/>
      <c r="S45" s="368"/>
      <c r="T45" s="368"/>
      <c r="U45" s="622"/>
      <c r="V45" s="349"/>
      <c r="W45" s="349"/>
      <c r="X45" s="349"/>
      <c r="Y45" s="349"/>
      <c r="Z45" s="370"/>
      <c r="AA45" s="346">
        <f t="shared" ref="AA45" si="24">SUM(W45:Z45)</f>
        <v>0</v>
      </c>
      <c r="AB45" s="350">
        <v>1000000</v>
      </c>
      <c r="AC45" s="371"/>
      <c r="AD45" s="371"/>
      <c r="AE45" s="371"/>
      <c r="AF45" s="371"/>
      <c r="AG45" s="371"/>
      <c r="AH45" s="371"/>
      <c r="AI45" s="371"/>
      <c r="AJ45" s="371"/>
      <c r="AK45" s="413"/>
      <c r="AL45" s="411"/>
      <c r="AM45" s="629">
        <f t="shared" ref="AM45" si="25">(V45+W45+X45+Y45+Z45+AB45+AC45+AD45+AE45+AF45+AG45+AH45+AI45+AJ45+AK45)-AL45</f>
        <v>1000000</v>
      </c>
      <c r="AN45" s="369"/>
    </row>
    <row r="46" spans="1:40" s="364" customFormat="1" ht="21.75" thickBot="1" x14ac:dyDescent="0.4">
      <c r="A46" s="418" t="s">
        <v>26</v>
      </c>
      <c r="B46" s="419"/>
      <c r="C46" s="420"/>
      <c r="D46" s="458"/>
      <c r="E46" s="803">
        <f>SUM(E27:E45)</f>
        <v>125000</v>
      </c>
      <c r="F46" s="422">
        <f t="shared" ref="E46:AK46" si="26">SUM(F27:F45)</f>
        <v>82800</v>
      </c>
      <c r="G46" s="422">
        <f t="shared" si="26"/>
        <v>60000</v>
      </c>
      <c r="H46" s="422">
        <f>SUM(H27:H45)</f>
        <v>30000</v>
      </c>
      <c r="I46" s="422">
        <f t="shared" si="26"/>
        <v>52800</v>
      </c>
      <c r="J46" s="422">
        <f t="shared" si="26"/>
        <v>225600</v>
      </c>
      <c r="K46" s="422">
        <f>SUM(K27:K45)</f>
        <v>1200000</v>
      </c>
      <c r="L46" s="422">
        <f t="shared" si="26"/>
        <v>124400</v>
      </c>
      <c r="M46" s="422">
        <f t="shared" si="26"/>
        <v>20000</v>
      </c>
      <c r="N46" s="422">
        <f t="shared" si="26"/>
        <v>4000</v>
      </c>
      <c r="O46" s="422">
        <f t="shared" si="26"/>
        <v>0</v>
      </c>
      <c r="P46" s="422">
        <f t="shared" si="26"/>
        <v>1000</v>
      </c>
      <c r="Q46" s="422">
        <f t="shared" si="26"/>
        <v>100000</v>
      </c>
      <c r="R46" s="422">
        <f t="shared" si="26"/>
        <v>0</v>
      </c>
      <c r="S46" s="422">
        <f t="shared" si="26"/>
        <v>0</v>
      </c>
      <c r="T46" s="422">
        <f t="shared" si="26"/>
        <v>0</v>
      </c>
      <c r="U46" s="622">
        <f t="shared" si="26"/>
        <v>0</v>
      </c>
      <c r="V46" s="422">
        <f t="shared" si="26"/>
        <v>337500</v>
      </c>
      <c r="W46" s="422">
        <f t="shared" si="26"/>
        <v>90000</v>
      </c>
      <c r="X46" s="422">
        <f t="shared" si="26"/>
        <v>69540</v>
      </c>
      <c r="Y46" s="422">
        <f t="shared" si="26"/>
        <v>60000</v>
      </c>
      <c r="Z46" s="422">
        <f t="shared" si="26"/>
        <v>60000</v>
      </c>
      <c r="AA46" s="423">
        <f t="shared" si="26"/>
        <v>279540</v>
      </c>
      <c r="AB46" s="422">
        <f>SUM(AB27:AB45)</f>
        <v>1600000</v>
      </c>
      <c r="AC46" s="422">
        <f t="shared" si="26"/>
        <v>200000</v>
      </c>
      <c r="AD46" s="422">
        <f t="shared" si="26"/>
        <v>30000</v>
      </c>
      <c r="AE46" s="422">
        <f t="shared" si="26"/>
        <v>4000</v>
      </c>
      <c r="AF46" s="422">
        <f t="shared" si="26"/>
        <v>0</v>
      </c>
      <c r="AG46" s="422">
        <f t="shared" si="26"/>
        <v>1000</v>
      </c>
      <c r="AH46" s="422">
        <f t="shared" si="26"/>
        <v>100000</v>
      </c>
      <c r="AI46" s="422">
        <f t="shared" si="26"/>
        <v>0</v>
      </c>
      <c r="AJ46" s="422">
        <f t="shared" si="26"/>
        <v>0</v>
      </c>
      <c r="AK46" s="579">
        <f t="shared" si="26"/>
        <v>0</v>
      </c>
      <c r="AL46" s="422"/>
      <c r="AM46" s="422">
        <f>SUM(AM27:AM45)</f>
        <v>1800000</v>
      </c>
      <c r="AN46" s="426"/>
    </row>
    <row r="47" spans="1:40" s="362" customFormat="1" ht="21.75" thickBot="1" x14ac:dyDescent="0.4">
      <c r="A47" s="492" t="s">
        <v>27</v>
      </c>
      <c r="B47" s="580">
        <v>4222</v>
      </c>
      <c r="C47" s="728" t="s">
        <v>228</v>
      </c>
      <c r="D47" s="729" t="s">
        <v>229</v>
      </c>
      <c r="E47" s="730"/>
      <c r="F47" s="731"/>
      <c r="G47" s="731"/>
      <c r="H47" s="731"/>
      <c r="I47" s="730"/>
      <c r="J47" s="344"/>
      <c r="K47" s="601">
        <f>AB47-AL47</f>
        <v>400</v>
      </c>
      <c r="L47" s="732"/>
      <c r="M47" s="732"/>
      <c r="N47" s="732"/>
      <c r="O47" s="732"/>
      <c r="P47" s="732"/>
      <c r="Q47" s="732"/>
      <c r="R47" s="732"/>
      <c r="S47" s="732"/>
      <c r="T47" s="732"/>
      <c r="U47" s="622"/>
      <c r="V47" s="435"/>
      <c r="W47" s="435"/>
      <c r="X47" s="435"/>
      <c r="Y47" s="435"/>
      <c r="Z47" s="440"/>
      <c r="AA47" s="346"/>
      <c r="AB47" s="436">
        <v>1000000</v>
      </c>
      <c r="AC47" s="437"/>
      <c r="AD47" s="437"/>
      <c r="AE47" s="437"/>
      <c r="AF47" s="437"/>
      <c r="AG47" s="437"/>
      <c r="AH47" s="437"/>
      <c r="AI47" s="437"/>
      <c r="AJ47" s="437"/>
      <c r="AK47" s="791"/>
      <c r="AL47" s="438">
        <f>998900+700</f>
        <v>999600</v>
      </c>
      <c r="AM47" s="629">
        <f>(V47+W47+X47+Y47+Z47+AB47+AC47+AD47+AE47+AF47+AG47+AH47+AI47+AJ47+AK47)-AL47</f>
        <v>400</v>
      </c>
      <c r="AN47" s="625" t="s">
        <v>366</v>
      </c>
    </row>
    <row r="48" spans="1:40" s="362" customFormat="1" ht="21.75" thickBot="1" x14ac:dyDescent="0.4">
      <c r="A48" s="492" t="s">
        <v>27</v>
      </c>
      <c r="B48" s="792">
        <v>4230</v>
      </c>
      <c r="C48" s="786" t="s">
        <v>230</v>
      </c>
      <c r="D48" s="633" t="s">
        <v>194</v>
      </c>
      <c r="E48" s="348"/>
      <c r="F48" s="604"/>
      <c r="G48" s="604"/>
      <c r="H48" s="604"/>
      <c r="I48" s="348"/>
      <c r="J48" s="344"/>
      <c r="K48" s="351"/>
      <c r="L48" s="459"/>
      <c r="M48" s="732">
        <f>AD48-AL48</f>
        <v>2000</v>
      </c>
      <c r="N48" s="459"/>
      <c r="O48" s="459"/>
      <c r="P48" s="459"/>
      <c r="Q48" s="459"/>
      <c r="R48" s="459"/>
      <c r="S48" s="459"/>
      <c r="T48" s="459"/>
      <c r="U48" s="622"/>
      <c r="V48" s="349"/>
      <c r="W48" s="349"/>
      <c r="X48" s="349"/>
      <c r="Y48" s="349"/>
      <c r="Z48" s="370"/>
      <c r="AA48" s="349"/>
      <c r="AB48" s="350"/>
      <c r="AC48" s="371"/>
      <c r="AD48" s="371">
        <v>20000</v>
      </c>
      <c r="AE48" s="371"/>
      <c r="AF48" s="371"/>
      <c r="AG48" s="371"/>
      <c r="AH48" s="371"/>
      <c r="AI48" s="371"/>
      <c r="AJ48" s="371"/>
      <c r="AK48" s="413"/>
      <c r="AL48" s="411">
        <v>18000</v>
      </c>
      <c r="AM48" s="629">
        <f t="shared" ref="AM48:AM60" si="27">(V48+W48+X48+Y48+Z48+AB48+AC48+AD48+AE48+AF48+AG48+AH48+AI48+AJ48+AK48)-AL48</f>
        <v>2000</v>
      </c>
      <c r="AN48" s="369" t="s">
        <v>363</v>
      </c>
    </row>
    <row r="49" spans="1:40" s="362" customFormat="1" ht="21.75" thickBot="1" x14ac:dyDescent="0.4">
      <c r="A49" s="492" t="s">
        <v>27</v>
      </c>
      <c r="B49" s="792">
        <v>4265</v>
      </c>
      <c r="C49" s="786" t="s">
        <v>357</v>
      </c>
      <c r="D49" s="633" t="s">
        <v>361</v>
      </c>
      <c r="E49" s="348">
        <f>V49-AL49</f>
        <v>0</v>
      </c>
      <c r="F49" s="604">
        <f>W49-AL49</f>
        <v>60000</v>
      </c>
      <c r="G49" s="604">
        <f>X49-AL49</f>
        <v>0</v>
      </c>
      <c r="H49" s="604">
        <f>Y49-AL49</f>
        <v>0</v>
      </c>
      <c r="I49" s="348">
        <f>Z49-AL49</f>
        <v>0</v>
      </c>
      <c r="J49" s="344">
        <f>SUM(F49:I49)</f>
        <v>60000</v>
      </c>
      <c r="K49" s="351">
        <f>AB49-AL49</f>
        <v>0</v>
      </c>
      <c r="L49" s="459"/>
      <c r="M49" s="732"/>
      <c r="N49" s="459"/>
      <c r="O49" s="459"/>
      <c r="P49" s="459"/>
      <c r="Q49" s="459"/>
      <c r="R49" s="459"/>
      <c r="S49" s="459"/>
      <c r="T49" s="459"/>
      <c r="U49" s="622"/>
      <c r="V49" s="349"/>
      <c r="W49" s="349">
        <v>60000</v>
      </c>
      <c r="X49" s="349"/>
      <c r="Y49" s="349"/>
      <c r="Z49" s="370"/>
      <c r="AA49" s="349"/>
      <c r="AB49" s="350"/>
      <c r="AC49" s="371"/>
      <c r="AD49" s="371"/>
      <c r="AE49" s="371"/>
      <c r="AF49" s="371"/>
      <c r="AG49" s="371"/>
      <c r="AH49" s="371"/>
      <c r="AI49" s="371"/>
      <c r="AJ49" s="371"/>
      <c r="AK49" s="413"/>
      <c r="AL49" s="411"/>
      <c r="AM49" s="629">
        <f t="shared" si="27"/>
        <v>60000</v>
      </c>
      <c r="AN49" s="790"/>
    </row>
    <row r="50" spans="1:40" s="362" customFormat="1" ht="21.75" thickBot="1" x14ac:dyDescent="0.4">
      <c r="A50" s="492" t="s">
        <v>27</v>
      </c>
      <c r="B50" s="792">
        <v>4265</v>
      </c>
      <c r="C50" s="786" t="s">
        <v>357</v>
      </c>
      <c r="D50" s="633" t="s">
        <v>361</v>
      </c>
      <c r="E50" s="348">
        <f t="shared" ref="E50:E54" si="28">V50-AL50</f>
        <v>0</v>
      </c>
      <c r="F50" s="604">
        <f t="shared" ref="F50:F54" si="29">W50-AL50</f>
        <v>0</v>
      </c>
      <c r="G50" s="604">
        <f t="shared" ref="G50:G54" si="30">X50-AL50</f>
        <v>60000</v>
      </c>
      <c r="H50" s="604">
        <f t="shared" ref="H50:H54" si="31">Y50-AL50</f>
        <v>0</v>
      </c>
      <c r="I50" s="348">
        <f t="shared" ref="I50:I54" si="32">Z50-AL50</f>
        <v>0</v>
      </c>
      <c r="J50" s="344">
        <f t="shared" ref="J50:J54" si="33">SUM(F50:I50)</f>
        <v>60000</v>
      </c>
      <c r="K50" s="351">
        <f t="shared" ref="K50:K54" si="34">AB50-AL50</f>
        <v>0</v>
      </c>
      <c r="L50" s="459"/>
      <c r="M50" s="732"/>
      <c r="N50" s="459"/>
      <c r="O50" s="459"/>
      <c r="P50" s="459"/>
      <c r="Q50" s="459"/>
      <c r="R50" s="459"/>
      <c r="S50" s="459"/>
      <c r="T50" s="459"/>
      <c r="U50" s="622"/>
      <c r="V50" s="349"/>
      <c r="W50" s="349"/>
      <c r="X50" s="349">
        <v>60000</v>
      </c>
      <c r="Y50" s="349"/>
      <c r="Z50" s="370"/>
      <c r="AA50" s="349"/>
      <c r="AB50" s="350"/>
      <c r="AC50" s="371"/>
      <c r="AD50" s="371"/>
      <c r="AE50" s="371"/>
      <c r="AF50" s="371"/>
      <c r="AG50" s="371"/>
      <c r="AH50" s="371"/>
      <c r="AI50" s="371"/>
      <c r="AJ50" s="371"/>
      <c r="AK50" s="413"/>
      <c r="AL50" s="411"/>
      <c r="AM50" s="629">
        <f t="shared" si="27"/>
        <v>60000</v>
      </c>
      <c r="AN50" s="790"/>
    </row>
    <row r="51" spans="1:40" s="362" customFormat="1" ht="21.75" thickBot="1" x14ac:dyDescent="0.4">
      <c r="A51" s="492" t="s">
        <v>27</v>
      </c>
      <c r="B51" s="792">
        <v>4265</v>
      </c>
      <c r="C51" s="786" t="s">
        <v>357</v>
      </c>
      <c r="D51" s="633" t="s">
        <v>361</v>
      </c>
      <c r="E51" s="348">
        <f t="shared" si="28"/>
        <v>0</v>
      </c>
      <c r="F51" s="604">
        <f t="shared" si="29"/>
        <v>0</v>
      </c>
      <c r="G51" s="604">
        <f t="shared" si="30"/>
        <v>0</v>
      </c>
      <c r="H51" s="604">
        <f t="shared" si="31"/>
        <v>30000</v>
      </c>
      <c r="I51" s="348">
        <f t="shared" si="32"/>
        <v>0</v>
      </c>
      <c r="J51" s="344">
        <f t="shared" si="33"/>
        <v>30000</v>
      </c>
      <c r="K51" s="351">
        <f t="shared" si="34"/>
        <v>0</v>
      </c>
      <c r="L51" s="459"/>
      <c r="M51" s="732"/>
      <c r="N51" s="459"/>
      <c r="O51" s="459"/>
      <c r="P51" s="459"/>
      <c r="Q51" s="459"/>
      <c r="R51" s="459"/>
      <c r="S51" s="459"/>
      <c r="T51" s="459"/>
      <c r="U51" s="622"/>
      <c r="V51" s="349"/>
      <c r="W51" s="349"/>
      <c r="X51" s="349"/>
      <c r="Y51" s="349">
        <v>30000</v>
      </c>
      <c r="Z51" s="370"/>
      <c r="AA51" s="349"/>
      <c r="AB51" s="350"/>
      <c r="AC51" s="371"/>
      <c r="AD51" s="371"/>
      <c r="AE51" s="371"/>
      <c r="AF51" s="371"/>
      <c r="AG51" s="371"/>
      <c r="AH51" s="371"/>
      <c r="AI51" s="371"/>
      <c r="AJ51" s="371"/>
      <c r="AK51" s="413"/>
      <c r="AL51" s="411"/>
      <c r="AM51" s="629">
        <f t="shared" si="27"/>
        <v>30000</v>
      </c>
      <c r="AN51" s="790"/>
    </row>
    <row r="52" spans="1:40" s="362" customFormat="1" ht="21.75" thickBot="1" x14ac:dyDescent="0.4">
      <c r="A52" s="492" t="s">
        <v>27</v>
      </c>
      <c r="B52" s="792">
        <v>4266</v>
      </c>
      <c r="C52" s="786" t="s">
        <v>357</v>
      </c>
      <c r="D52" s="633" t="s">
        <v>361</v>
      </c>
      <c r="E52" s="348">
        <f t="shared" si="28"/>
        <v>0</v>
      </c>
      <c r="F52" s="604">
        <f t="shared" si="29"/>
        <v>0</v>
      </c>
      <c r="G52" s="604">
        <f t="shared" si="30"/>
        <v>0</v>
      </c>
      <c r="H52" s="604">
        <f t="shared" si="31"/>
        <v>0</v>
      </c>
      <c r="I52" s="348">
        <f t="shared" si="32"/>
        <v>30000</v>
      </c>
      <c r="J52" s="344">
        <f t="shared" si="33"/>
        <v>30000</v>
      </c>
      <c r="K52" s="351">
        <f t="shared" si="34"/>
        <v>0</v>
      </c>
      <c r="L52" s="459"/>
      <c r="M52" s="732"/>
      <c r="N52" s="459"/>
      <c r="O52" s="459"/>
      <c r="P52" s="459"/>
      <c r="Q52" s="459"/>
      <c r="R52" s="459"/>
      <c r="S52" s="459"/>
      <c r="T52" s="459"/>
      <c r="U52" s="622"/>
      <c r="V52" s="349"/>
      <c r="W52" s="349"/>
      <c r="X52" s="349"/>
      <c r="Y52" s="349"/>
      <c r="Z52" s="370">
        <v>30000</v>
      </c>
      <c r="AA52" s="349"/>
      <c r="AB52" s="350"/>
      <c r="AC52" s="371"/>
      <c r="AD52" s="371"/>
      <c r="AE52" s="371"/>
      <c r="AF52" s="371"/>
      <c r="AG52" s="371"/>
      <c r="AH52" s="371"/>
      <c r="AI52" s="371"/>
      <c r="AJ52" s="371"/>
      <c r="AK52" s="413"/>
      <c r="AL52" s="411"/>
      <c r="AM52" s="629">
        <f t="shared" si="27"/>
        <v>30000</v>
      </c>
      <c r="AN52" s="790"/>
    </row>
    <row r="53" spans="1:40" s="362" customFormat="1" ht="21.75" thickBot="1" x14ac:dyDescent="0.4">
      <c r="A53" s="492" t="s">
        <v>27</v>
      </c>
      <c r="B53" s="792">
        <v>4262</v>
      </c>
      <c r="C53" s="786" t="s">
        <v>360</v>
      </c>
      <c r="D53" s="633" t="s">
        <v>362</v>
      </c>
      <c r="E53" s="348"/>
      <c r="F53" s="604"/>
      <c r="G53" s="604"/>
      <c r="H53" s="604"/>
      <c r="I53" s="348">
        <f t="shared" si="32"/>
        <v>30</v>
      </c>
      <c r="J53" s="344">
        <f t="shared" si="33"/>
        <v>30</v>
      </c>
      <c r="K53" s="351"/>
      <c r="L53" s="459"/>
      <c r="M53" s="732"/>
      <c r="N53" s="459"/>
      <c r="O53" s="459"/>
      <c r="P53" s="459"/>
      <c r="Q53" s="459"/>
      <c r="R53" s="459"/>
      <c r="S53" s="459"/>
      <c r="T53" s="459"/>
      <c r="U53" s="622"/>
      <c r="V53" s="349"/>
      <c r="W53" s="349"/>
      <c r="X53" s="349"/>
      <c r="Y53" s="349"/>
      <c r="Z53" s="370">
        <v>1170</v>
      </c>
      <c r="AA53" s="349"/>
      <c r="AB53" s="350"/>
      <c r="AC53" s="371"/>
      <c r="AD53" s="371"/>
      <c r="AE53" s="371"/>
      <c r="AF53" s="371"/>
      <c r="AG53" s="371"/>
      <c r="AH53" s="371"/>
      <c r="AI53" s="371"/>
      <c r="AJ53" s="371"/>
      <c r="AK53" s="413"/>
      <c r="AL53" s="411">
        <v>1140</v>
      </c>
      <c r="AM53" s="629">
        <f t="shared" si="27"/>
        <v>30</v>
      </c>
      <c r="AN53" s="790" t="s">
        <v>374</v>
      </c>
    </row>
    <row r="54" spans="1:40" s="362" customFormat="1" ht="21.75" thickBot="1" x14ac:dyDescent="0.4">
      <c r="A54" s="492" t="s">
        <v>27</v>
      </c>
      <c r="B54" s="792">
        <v>4260</v>
      </c>
      <c r="C54" s="786" t="s">
        <v>359</v>
      </c>
      <c r="D54" s="633" t="s">
        <v>362</v>
      </c>
      <c r="E54" s="348">
        <f t="shared" si="28"/>
        <v>212500</v>
      </c>
      <c r="F54" s="604">
        <f t="shared" si="29"/>
        <v>0</v>
      </c>
      <c r="G54" s="604">
        <f t="shared" si="30"/>
        <v>0</v>
      </c>
      <c r="H54" s="604">
        <f t="shared" si="31"/>
        <v>0</v>
      </c>
      <c r="I54" s="348">
        <f t="shared" si="32"/>
        <v>0</v>
      </c>
      <c r="J54" s="344">
        <f t="shared" si="33"/>
        <v>0</v>
      </c>
      <c r="K54" s="351">
        <f t="shared" si="34"/>
        <v>0</v>
      </c>
      <c r="L54" s="459"/>
      <c r="M54" s="732"/>
      <c r="N54" s="459"/>
      <c r="O54" s="459"/>
      <c r="P54" s="459"/>
      <c r="Q54" s="459"/>
      <c r="R54" s="459"/>
      <c r="S54" s="459"/>
      <c r="T54" s="459"/>
      <c r="U54" s="622"/>
      <c r="V54" s="349">
        <v>212500</v>
      </c>
      <c r="W54" s="349"/>
      <c r="X54" s="349"/>
      <c r="Y54" s="349"/>
      <c r="Z54" s="370"/>
      <c r="AA54" s="349"/>
      <c r="AB54" s="350"/>
      <c r="AC54" s="371"/>
      <c r="AD54" s="371"/>
      <c r="AE54" s="371"/>
      <c r="AF54" s="371"/>
      <c r="AG54" s="371"/>
      <c r="AH54" s="371"/>
      <c r="AI54" s="371"/>
      <c r="AJ54" s="371"/>
      <c r="AK54" s="413"/>
      <c r="AL54" s="411"/>
      <c r="AM54" s="629">
        <f t="shared" si="27"/>
        <v>212500</v>
      </c>
      <c r="AN54" s="790"/>
    </row>
    <row r="55" spans="1:40" s="362" customFormat="1" ht="21.75" thickBot="1" x14ac:dyDescent="0.4">
      <c r="A55" s="1049" t="s">
        <v>27</v>
      </c>
      <c r="B55" s="1050">
        <v>4267</v>
      </c>
      <c r="C55" s="1051" t="s">
        <v>365</v>
      </c>
      <c r="D55" s="832" t="s">
        <v>361</v>
      </c>
      <c r="E55" s="833"/>
      <c r="F55" s="834"/>
      <c r="G55" s="834"/>
      <c r="H55" s="834"/>
      <c r="I55" s="833"/>
      <c r="J55" s="835"/>
      <c r="K55" s="836"/>
      <c r="L55" s="837"/>
      <c r="M55" s="838"/>
      <c r="N55" s="837">
        <f>AE55-AL55</f>
        <v>0</v>
      </c>
      <c r="O55" s="837"/>
      <c r="P55" s="837"/>
      <c r="Q55" s="837"/>
      <c r="R55" s="837"/>
      <c r="S55" s="837"/>
      <c r="T55" s="837"/>
      <c r="U55" s="839"/>
      <c r="V55" s="833"/>
      <c r="W55" s="833"/>
      <c r="X55" s="833"/>
      <c r="Y55" s="833"/>
      <c r="Z55" s="840"/>
      <c r="AA55" s="833"/>
      <c r="AB55" s="836"/>
      <c r="AC55" s="837"/>
      <c r="AD55" s="837"/>
      <c r="AE55" s="837">
        <v>5000</v>
      </c>
      <c r="AF55" s="837"/>
      <c r="AG55" s="837"/>
      <c r="AH55" s="837"/>
      <c r="AI55" s="837"/>
      <c r="AJ55" s="837"/>
      <c r="AK55" s="841"/>
      <c r="AL55" s="842">
        <v>5000</v>
      </c>
      <c r="AM55" s="843">
        <f t="shared" si="27"/>
        <v>0</v>
      </c>
      <c r="AN55" s="1052" t="s">
        <v>421</v>
      </c>
    </row>
    <row r="56" spans="1:40" s="362" customFormat="1" ht="21.75" thickBot="1" x14ac:dyDescent="0.4">
      <c r="A56" s="492" t="s">
        <v>27</v>
      </c>
      <c r="B56" s="792">
        <v>4269</v>
      </c>
      <c r="C56" s="786" t="s">
        <v>365</v>
      </c>
      <c r="D56" s="633" t="s">
        <v>361</v>
      </c>
      <c r="E56" s="348"/>
      <c r="F56" s="604"/>
      <c r="G56" s="604"/>
      <c r="H56" s="604"/>
      <c r="I56" s="348"/>
      <c r="J56" s="344"/>
      <c r="K56" s="351">
        <f>AB56-AL56</f>
        <v>200000</v>
      </c>
      <c r="L56" s="459"/>
      <c r="M56" s="732"/>
      <c r="N56" s="459"/>
      <c r="O56" s="459"/>
      <c r="P56" s="459"/>
      <c r="Q56" s="459"/>
      <c r="R56" s="459"/>
      <c r="S56" s="459"/>
      <c r="T56" s="459"/>
      <c r="U56" s="622"/>
      <c r="V56" s="349"/>
      <c r="W56" s="349"/>
      <c r="X56" s="349"/>
      <c r="Y56" s="349"/>
      <c r="Z56" s="370"/>
      <c r="AA56" s="349"/>
      <c r="AB56" s="350">
        <v>200000</v>
      </c>
      <c r="AC56" s="371"/>
      <c r="AD56" s="371"/>
      <c r="AE56" s="371"/>
      <c r="AF56" s="371"/>
      <c r="AG56" s="371"/>
      <c r="AH56" s="371"/>
      <c r="AI56" s="371"/>
      <c r="AJ56" s="371"/>
      <c r="AK56" s="413"/>
      <c r="AL56" s="411"/>
      <c r="AM56" s="629">
        <f t="shared" si="27"/>
        <v>200000</v>
      </c>
      <c r="AN56" s="790"/>
    </row>
    <row r="57" spans="1:40" s="362" customFormat="1" ht="21.75" thickBot="1" x14ac:dyDescent="0.4">
      <c r="A57" s="492" t="s">
        <v>27</v>
      </c>
      <c r="B57" s="792">
        <v>4270</v>
      </c>
      <c r="C57" s="786" t="s">
        <v>365</v>
      </c>
      <c r="D57" s="633" t="s">
        <v>361</v>
      </c>
      <c r="E57" s="348"/>
      <c r="F57" s="604"/>
      <c r="G57" s="604"/>
      <c r="H57" s="604"/>
      <c r="I57" s="348"/>
      <c r="J57" s="344"/>
      <c r="K57" s="351"/>
      <c r="L57" s="459"/>
      <c r="M57" s="732"/>
      <c r="N57" s="459"/>
      <c r="O57" s="459"/>
      <c r="P57" s="459">
        <f>AG57-AL57</f>
        <v>1500</v>
      </c>
      <c r="Q57" s="459"/>
      <c r="R57" s="459"/>
      <c r="S57" s="459"/>
      <c r="T57" s="459"/>
      <c r="U57" s="622"/>
      <c r="V57" s="349"/>
      <c r="W57" s="349"/>
      <c r="X57" s="349"/>
      <c r="Y57" s="349"/>
      <c r="Z57" s="370"/>
      <c r="AA57" s="349"/>
      <c r="AB57" s="350"/>
      <c r="AC57" s="371"/>
      <c r="AD57" s="371"/>
      <c r="AE57" s="371"/>
      <c r="AF57" s="371"/>
      <c r="AG57" s="371">
        <v>1500</v>
      </c>
      <c r="AH57" s="371"/>
      <c r="AI57" s="371"/>
      <c r="AJ57" s="371"/>
      <c r="AK57" s="413"/>
      <c r="AL57" s="411"/>
      <c r="AM57" s="629">
        <f t="shared" si="27"/>
        <v>1500</v>
      </c>
      <c r="AN57" s="790"/>
    </row>
    <row r="58" spans="1:40" s="362" customFormat="1" ht="21.75" thickBot="1" x14ac:dyDescent="0.4">
      <c r="A58" s="492" t="s">
        <v>27</v>
      </c>
      <c r="B58" s="792">
        <v>4269</v>
      </c>
      <c r="C58" s="786" t="s">
        <v>365</v>
      </c>
      <c r="D58" s="633" t="s">
        <v>361</v>
      </c>
      <c r="E58" s="348"/>
      <c r="F58" s="604"/>
      <c r="G58" s="604"/>
      <c r="H58" s="604"/>
      <c r="I58" s="348"/>
      <c r="J58" s="344"/>
      <c r="K58" s="351"/>
      <c r="L58" s="459"/>
      <c r="M58" s="732"/>
      <c r="N58" s="459"/>
      <c r="O58" s="459"/>
      <c r="P58" s="459"/>
      <c r="Q58" s="459">
        <f>AH58-AL58</f>
        <v>100000</v>
      </c>
      <c r="R58" s="459"/>
      <c r="S58" s="459"/>
      <c r="T58" s="459"/>
      <c r="U58" s="622"/>
      <c r="V58" s="349"/>
      <c r="W58" s="349"/>
      <c r="X58" s="349"/>
      <c r="Y58" s="349"/>
      <c r="Z58" s="370"/>
      <c r="AA58" s="349"/>
      <c r="AB58" s="350"/>
      <c r="AC58" s="371"/>
      <c r="AD58" s="371"/>
      <c r="AE58" s="371"/>
      <c r="AF58" s="371"/>
      <c r="AG58" s="371"/>
      <c r="AH58" s="371">
        <v>100000</v>
      </c>
      <c r="AI58" s="371"/>
      <c r="AJ58" s="371"/>
      <c r="AK58" s="413"/>
      <c r="AL58" s="411"/>
      <c r="AM58" s="629">
        <f t="shared" si="27"/>
        <v>100000</v>
      </c>
      <c r="AN58" s="790"/>
    </row>
    <row r="59" spans="1:40" s="362" customFormat="1" ht="21.75" thickBot="1" x14ac:dyDescent="0.4">
      <c r="A59" s="804" t="s">
        <v>27</v>
      </c>
      <c r="B59" s="792">
        <v>4268</v>
      </c>
      <c r="C59" s="786" t="s">
        <v>365</v>
      </c>
      <c r="D59" s="633" t="s">
        <v>361</v>
      </c>
      <c r="E59" s="348"/>
      <c r="F59" s="604"/>
      <c r="G59" s="604"/>
      <c r="H59" s="604"/>
      <c r="I59" s="348"/>
      <c r="J59" s="344"/>
      <c r="K59" s="351"/>
      <c r="L59" s="459">
        <f>AC59-AL59</f>
        <v>100000</v>
      </c>
      <c r="M59" s="732"/>
      <c r="N59" s="459"/>
      <c r="O59" s="459"/>
      <c r="P59" s="459"/>
      <c r="Q59" s="459"/>
      <c r="R59" s="459"/>
      <c r="S59" s="459"/>
      <c r="T59" s="459"/>
      <c r="U59" s="622"/>
      <c r="V59" s="349"/>
      <c r="W59" s="349"/>
      <c r="X59" s="349"/>
      <c r="Y59" s="349"/>
      <c r="Z59" s="370"/>
      <c r="AA59" s="349"/>
      <c r="AB59" s="350"/>
      <c r="AC59" s="371">
        <v>100000</v>
      </c>
      <c r="AD59" s="371"/>
      <c r="AE59" s="371"/>
      <c r="AF59" s="371"/>
      <c r="AG59" s="371"/>
      <c r="AH59" s="371"/>
      <c r="AI59" s="371"/>
      <c r="AJ59" s="371"/>
      <c r="AK59" s="413"/>
      <c r="AL59" s="411"/>
      <c r="AM59" s="629">
        <f t="shared" si="27"/>
        <v>100000</v>
      </c>
      <c r="AN59" s="790"/>
    </row>
    <row r="60" spans="1:40" s="362" customFormat="1" ht="21.75" thickBot="1" x14ac:dyDescent="0.4">
      <c r="A60" s="804" t="s">
        <v>27</v>
      </c>
      <c r="B60" s="792">
        <v>4303</v>
      </c>
      <c r="C60" s="786">
        <v>45996</v>
      </c>
      <c r="D60" s="633">
        <v>46203</v>
      </c>
      <c r="E60" s="348">
        <f>V60-AL60</f>
        <v>200000</v>
      </c>
      <c r="F60" s="604"/>
      <c r="G60" s="604"/>
      <c r="H60" s="604"/>
      <c r="I60" s="348"/>
      <c r="J60" s="344"/>
      <c r="K60" s="351"/>
      <c r="L60" s="459"/>
      <c r="M60" s="732"/>
      <c r="N60" s="459"/>
      <c r="O60" s="459"/>
      <c r="P60" s="459"/>
      <c r="Q60" s="459"/>
      <c r="R60" s="459"/>
      <c r="S60" s="459"/>
      <c r="T60" s="459"/>
      <c r="U60" s="622"/>
      <c r="V60" s="349">
        <v>200000</v>
      </c>
      <c r="W60" s="349"/>
      <c r="X60" s="349"/>
      <c r="Y60" s="349"/>
      <c r="Z60" s="370"/>
      <c r="AA60" s="349"/>
      <c r="AB60" s="350"/>
      <c r="AC60" s="371"/>
      <c r="AD60" s="371"/>
      <c r="AE60" s="371"/>
      <c r="AF60" s="371"/>
      <c r="AG60" s="371"/>
      <c r="AH60" s="371"/>
      <c r="AI60" s="371"/>
      <c r="AJ60" s="371"/>
      <c r="AK60" s="413"/>
      <c r="AL60" s="411"/>
      <c r="AM60" s="629">
        <f t="shared" si="27"/>
        <v>200000</v>
      </c>
      <c r="AN60" s="790"/>
    </row>
    <row r="61" spans="1:40" s="785" customFormat="1" ht="21.75" thickBot="1" x14ac:dyDescent="0.4">
      <c r="A61" s="789" t="s">
        <v>28</v>
      </c>
      <c r="B61" s="361">
        <v>4333</v>
      </c>
      <c r="C61" s="632">
        <v>46078</v>
      </c>
      <c r="D61" s="633">
        <v>46142</v>
      </c>
      <c r="E61" s="366">
        <f t="shared" ref="E61" si="35">V61-AL61</f>
        <v>0</v>
      </c>
      <c r="F61" s="602">
        <f t="shared" ref="F61" si="36">W61-AL61</f>
        <v>0</v>
      </c>
      <c r="G61" s="602">
        <f t="shared" ref="G61" si="37">X61-AL61</f>
        <v>0</v>
      </c>
      <c r="H61" s="602">
        <f t="shared" ref="H61" si="38">Y61-AL61</f>
        <v>0</v>
      </c>
      <c r="I61" s="366">
        <f t="shared" ref="I61" si="39">Z61-AL61</f>
        <v>0</v>
      </c>
      <c r="J61" s="367">
        <f t="shared" ref="J61" si="40">SUM(F61:I61)</f>
        <v>0</v>
      </c>
      <c r="K61" s="845">
        <f t="shared" ref="K61" si="41">AB61-AL61</f>
        <v>1000000</v>
      </c>
      <c r="L61" s="368"/>
      <c r="M61" s="368"/>
      <c r="N61" s="368"/>
      <c r="O61" s="368"/>
      <c r="P61" s="368"/>
      <c r="Q61" s="368"/>
      <c r="R61" s="368"/>
      <c r="S61" s="368"/>
      <c r="T61" s="368"/>
      <c r="U61" s="622"/>
      <c r="V61" s="787"/>
      <c r="W61" s="349"/>
      <c r="X61" s="349"/>
      <c r="Y61" s="349"/>
      <c r="Z61" s="370"/>
      <c r="AA61" s="349"/>
      <c r="AB61" s="350">
        <v>1000000</v>
      </c>
      <c r="AC61" s="371"/>
      <c r="AD61" s="371"/>
      <c r="AE61" s="371"/>
      <c r="AF61" s="371"/>
      <c r="AG61" s="371"/>
      <c r="AH61" s="371"/>
      <c r="AI61" s="371"/>
      <c r="AJ61" s="371"/>
      <c r="AK61" s="413"/>
      <c r="AL61" s="411"/>
      <c r="AM61" s="373">
        <f t="shared" ref="AM61" si="42">(V61+W61+X61+Y61+Z61+AB61+AC61+AD61+AE61+AF61+AG61+AH61+AI61+AJ61+AK61)-AL61</f>
        <v>1000000</v>
      </c>
      <c r="AN61" s="369"/>
    </row>
    <row r="62" spans="1:40" s="364" customFormat="1" ht="21.75" thickBot="1" x14ac:dyDescent="0.4">
      <c r="A62" s="796" t="s">
        <v>27</v>
      </c>
      <c r="B62" s="805" t="s">
        <v>24</v>
      </c>
      <c r="C62" s="458"/>
      <c r="D62" s="421"/>
      <c r="E62" s="441">
        <f>SUM(E47:E61)</f>
        <v>412500</v>
      </c>
      <c r="F62" s="422">
        <f t="shared" ref="E62:J62" si="43">SUM(F47:F61)</f>
        <v>60000</v>
      </c>
      <c r="G62" s="422">
        <f t="shared" si="43"/>
        <v>60000</v>
      </c>
      <c r="H62" s="422">
        <f>SUM(H47:H61)</f>
        <v>30000</v>
      </c>
      <c r="I62" s="422">
        <f t="shared" si="43"/>
        <v>30030</v>
      </c>
      <c r="J62" s="423">
        <f t="shared" si="43"/>
        <v>180030</v>
      </c>
      <c r="K62" s="579">
        <f>SUM(K47:K61)</f>
        <v>1200400</v>
      </c>
      <c r="L62" s="603">
        <f t="shared" ref="L62:AK62" si="44">SUM(L47:L61)</f>
        <v>100000</v>
      </c>
      <c r="M62" s="603">
        <f t="shared" si="44"/>
        <v>2000</v>
      </c>
      <c r="N62" s="603">
        <f t="shared" si="44"/>
        <v>0</v>
      </c>
      <c r="O62" s="603">
        <f t="shared" si="44"/>
        <v>0</v>
      </c>
      <c r="P62" s="603">
        <f t="shared" si="44"/>
        <v>1500</v>
      </c>
      <c r="Q62" s="603">
        <f>SUM(Q47:Q61)</f>
        <v>100000</v>
      </c>
      <c r="R62" s="603">
        <f t="shared" si="44"/>
        <v>0</v>
      </c>
      <c r="S62" s="603">
        <f t="shared" si="44"/>
        <v>0</v>
      </c>
      <c r="T62" s="603">
        <f t="shared" si="44"/>
        <v>0</v>
      </c>
      <c r="U62" s="622">
        <f t="shared" si="44"/>
        <v>0</v>
      </c>
      <c r="V62" s="603">
        <f t="shared" si="44"/>
        <v>412500</v>
      </c>
      <c r="W62" s="603">
        <f t="shared" si="44"/>
        <v>60000</v>
      </c>
      <c r="X62" s="603">
        <f t="shared" si="44"/>
        <v>60000</v>
      </c>
      <c r="Y62" s="603">
        <f t="shared" si="44"/>
        <v>30000</v>
      </c>
      <c r="Z62" s="603">
        <f t="shared" si="44"/>
        <v>31170</v>
      </c>
      <c r="AA62" s="608">
        <f t="shared" si="44"/>
        <v>0</v>
      </c>
      <c r="AB62" s="692">
        <f t="shared" si="44"/>
        <v>2200000</v>
      </c>
      <c r="AC62" s="603">
        <f t="shared" si="44"/>
        <v>100000</v>
      </c>
      <c r="AD62" s="603">
        <f t="shared" si="44"/>
        <v>20000</v>
      </c>
      <c r="AE62" s="603">
        <f t="shared" si="44"/>
        <v>5000</v>
      </c>
      <c r="AF62" s="603">
        <f t="shared" si="44"/>
        <v>0</v>
      </c>
      <c r="AG62" s="603">
        <f t="shared" si="44"/>
        <v>1500</v>
      </c>
      <c r="AH62" s="603">
        <f t="shared" si="44"/>
        <v>100000</v>
      </c>
      <c r="AI62" s="603">
        <f t="shared" si="44"/>
        <v>0</v>
      </c>
      <c r="AJ62" s="603">
        <f t="shared" si="44"/>
        <v>0</v>
      </c>
      <c r="AK62" s="692">
        <f t="shared" si="44"/>
        <v>0</v>
      </c>
      <c r="AL62" s="424"/>
      <c r="AM62" s="425">
        <f>SUM(AM47:AM61)</f>
        <v>1996430</v>
      </c>
      <c r="AN62" s="681"/>
    </row>
    <row r="63" spans="1:40" s="364" customFormat="1" ht="21.75" thickBot="1" x14ac:dyDescent="0.4">
      <c r="A63" s="429" t="s">
        <v>28</v>
      </c>
      <c r="B63" s="430">
        <v>3259</v>
      </c>
      <c r="C63" s="431" t="s">
        <v>167</v>
      </c>
      <c r="D63" s="432" t="s">
        <v>164</v>
      </c>
      <c r="E63" s="433"/>
      <c r="F63" s="602">
        <f>W63-AL63</f>
        <v>105000</v>
      </c>
      <c r="G63" s="433"/>
      <c r="H63" s="433"/>
      <c r="I63" s="433"/>
      <c r="J63" s="367">
        <f>SUM(F63:I63)</f>
        <v>105000</v>
      </c>
      <c r="K63" s="600"/>
      <c r="L63" s="434"/>
      <c r="M63" s="434"/>
      <c r="N63" s="434"/>
      <c r="O63" s="434"/>
      <c r="P63" s="434"/>
      <c r="Q63" s="434"/>
      <c r="R63" s="434"/>
      <c r="S63" s="434"/>
      <c r="T63" s="434"/>
      <c r="U63" s="622"/>
      <c r="V63" s="435"/>
      <c r="W63" s="435">
        <v>105000</v>
      </c>
      <c r="X63" s="435"/>
      <c r="Y63" s="435"/>
      <c r="Z63" s="440"/>
      <c r="AA63" s="346">
        <f>SUM(W63:Z63)</f>
        <v>105000</v>
      </c>
      <c r="AB63" s="436"/>
      <c r="AC63" s="437"/>
      <c r="AD63" s="437"/>
      <c r="AE63" s="437"/>
      <c r="AF63" s="437"/>
      <c r="AG63" s="437"/>
      <c r="AH63" s="437"/>
      <c r="AI63" s="437"/>
      <c r="AJ63" s="437"/>
      <c r="AK63" s="442"/>
      <c r="AL63" s="629">
        <v>0</v>
      </c>
      <c r="AM63" s="373">
        <f t="shared" ref="AM63:AM64" si="45">(V63+W63+X63+Y63+Z63+AB63+AC63+AD63+AE63+AF63+AG63+AH63+AI63+AJ63+AK63)-AL63</f>
        <v>105000</v>
      </c>
      <c r="AN63" s="630" t="s">
        <v>168</v>
      </c>
    </row>
    <row r="64" spans="1:40" s="39" customFormat="1" ht="21.75" thickBot="1" x14ac:dyDescent="0.4">
      <c r="A64" s="429" t="s">
        <v>28</v>
      </c>
      <c r="B64" s="430">
        <v>3259</v>
      </c>
      <c r="C64" s="431" t="s">
        <v>167</v>
      </c>
      <c r="D64" s="432" t="s">
        <v>164</v>
      </c>
      <c r="E64" s="433"/>
      <c r="F64" s="433"/>
      <c r="G64" s="366">
        <f>X64-AL64</f>
        <v>96000</v>
      </c>
      <c r="H64" s="433"/>
      <c r="I64" s="433"/>
      <c r="J64" s="367">
        <f>SUM(F64:I64)</f>
        <v>96000</v>
      </c>
      <c r="K64" s="600"/>
      <c r="L64" s="434"/>
      <c r="M64" s="434"/>
      <c r="N64" s="434"/>
      <c r="O64" s="434"/>
      <c r="P64" s="434"/>
      <c r="Q64" s="434"/>
      <c r="R64" s="434"/>
      <c r="S64" s="434"/>
      <c r="T64" s="434"/>
      <c r="U64" s="622"/>
      <c r="V64" s="435"/>
      <c r="W64" s="435"/>
      <c r="X64" s="435">
        <v>96000</v>
      </c>
      <c r="Y64" s="435"/>
      <c r="Z64" s="440"/>
      <c r="AA64" s="346">
        <f>SUM(W64:Z64)</f>
        <v>96000</v>
      </c>
      <c r="AB64" s="436"/>
      <c r="AC64" s="437"/>
      <c r="AD64" s="437"/>
      <c r="AE64" s="437"/>
      <c r="AF64" s="437"/>
      <c r="AG64" s="437"/>
      <c r="AH64" s="437"/>
      <c r="AI64" s="437"/>
      <c r="AJ64" s="437"/>
      <c r="AK64" s="442"/>
      <c r="AL64" s="629">
        <v>0</v>
      </c>
      <c r="AM64" s="373">
        <f t="shared" si="45"/>
        <v>96000</v>
      </c>
      <c r="AN64" s="630" t="s">
        <v>168</v>
      </c>
    </row>
    <row r="65" spans="1:40" s="785" customFormat="1" ht="21.75" thickBot="1" x14ac:dyDescent="0.4">
      <c r="A65" s="789" t="s">
        <v>28</v>
      </c>
      <c r="B65" s="361">
        <v>3452</v>
      </c>
      <c r="C65" s="632" t="s">
        <v>357</v>
      </c>
      <c r="D65" s="633" t="s">
        <v>361</v>
      </c>
      <c r="E65" s="366">
        <f>V65-AL65</f>
        <v>0</v>
      </c>
      <c r="F65" s="602">
        <f>W65-AL65</f>
        <v>150000</v>
      </c>
      <c r="G65" s="602">
        <f>X65-AL65</f>
        <v>0</v>
      </c>
      <c r="H65" s="602">
        <f>Y65-AL65</f>
        <v>0</v>
      </c>
      <c r="I65" s="366">
        <f>Z65-AL65</f>
        <v>0</v>
      </c>
      <c r="J65" s="367">
        <f>SUM(F65:I65)</f>
        <v>150000</v>
      </c>
      <c r="K65" s="693">
        <f>AB65-AL65</f>
        <v>0</v>
      </c>
      <c r="L65" s="368"/>
      <c r="M65" s="368"/>
      <c r="N65" s="368"/>
      <c r="O65" s="368"/>
      <c r="P65" s="368"/>
      <c r="Q65" s="368"/>
      <c r="R65" s="368"/>
      <c r="S65" s="368"/>
      <c r="T65" s="368"/>
      <c r="U65" s="622"/>
      <c r="V65" s="787"/>
      <c r="W65" s="349">
        <v>150000</v>
      </c>
      <c r="X65" s="349"/>
      <c r="Y65" s="349"/>
      <c r="Z65" s="370"/>
      <c r="AA65" s="349"/>
      <c r="AB65" s="350"/>
      <c r="AC65" s="371"/>
      <c r="AD65" s="371"/>
      <c r="AE65" s="371"/>
      <c r="AF65" s="371"/>
      <c r="AG65" s="371"/>
      <c r="AH65" s="371"/>
      <c r="AI65" s="371"/>
      <c r="AJ65" s="371"/>
      <c r="AK65" s="413"/>
      <c r="AL65" s="411"/>
      <c r="AM65" s="788">
        <f t="shared" ref="AM65:AM78" si="46">(V65+W65+X65+Y65+Z65+AB65+AC65+AD65+AE65+AF65+AG65+AH65+AI65+AJ65+AK65)-AL65</f>
        <v>150000</v>
      </c>
      <c r="AN65" s="369"/>
    </row>
    <row r="66" spans="1:40" s="785" customFormat="1" ht="21.75" thickBot="1" x14ac:dyDescent="0.4">
      <c r="A66" s="847" t="s">
        <v>28</v>
      </c>
      <c r="B66" s="830">
        <v>3443</v>
      </c>
      <c r="C66" s="831" t="s">
        <v>358</v>
      </c>
      <c r="D66" s="832" t="s">
        <v>362</v>
      </c>
      <c r="E66" s="833"/>
      <c r="F66" s="834">
        <f t="shared" ref="F66:F75" si="47">W66-AL66</f>
        <v>0</v>
      </c>
      <c r="G66" s="834"/>
      <c r="H66" s="834"/>
      <c r="I66" s="833"/>
      <c r="J66" s="835">
        <f t="shared" ref="J66:J75" si="48">SUM(F66:I66)</f>
        <v>0</v>
      </c>
      <c r="K66" s="836"/>
      <c r="L66" s="837"/>
      <c r="M66" s="837"/>
      <c r="N66" s="837"/>
      <c r="O66" s="837"/>
      <c r="P66" s="837"/>
      <c r="Q66" s="837"/>
      <c r="R66" s="837"/>
      <c r="S66" s="837"/>
      <c r="T66" s="837"/>
      <c r="U66" s="839"/>
      <c r="V66" s="848"/>
      <c r="W66" s="833">
        <v>30000</v>
      </c>
      <c r="X66" s="833"/>
      <c r="Y66" s="833"/>
      <c r="Z66" s="840"/>
      <c r="AA66" s="833"/>
      <c r="AB66" s="836"/>
      <c r="AC66" s="837"/>
      <c r="AD66" s="837"/>
      <c r="AE66" s="837"/>
      <c r="AF66" s="837"/>
      <c r="AG66" s="837"/>
      <c r="AH66" s="837"/>
      <c r="AI66" s="837"/>
      <c r="AJ66" s="837"/>
      <c r="AK66" s="841"/>
      <c r="AL66" s="842">
        <f>7200+22800</f>
        <v>30000</v>
      </c>
      <c r="AM66" s="849">
        <f t="shared" si="46"/>
        <v>0</v>
      </c>
      <c r="AN66" s="844" t="s">
        <v>391</v>
      </c>
    </row>
    <row r="67" spans="1:40" s="785" customFormat="1" ht="21.75" thickBot="1" x14ac:dyDescent="0.4">
      <c r="A67" s="789" t="s">
        <v>28</v>
      </c>
      <c r="B67" s="361">
        <v>3453</v>
      </c>
      <c r="C67" s="632" t="s">
        <v>357</v>
      </c>
      <c r="D67" s="633" t="s">
        <v>361</v>
      </c>
      <c r="E67" s="366">
        <f t="shared" ref="E67:E75" si="49">V67-AL67</f>
        <v>0</v>
      </c>
      <c r="F67" s="602">
        <f t="shared" si="47"/>
        <v>0</v>
      </c>
      <c r="G67" s="602">
        <f t="shared" ref="G67:G75" si="50">X67-AL67</f>
        <v>90000</v>
      </c>
      <c r="H67" s="602">
        <f t="shared" ref="H67:H75" si="51">Y67-AL67</f>
        <v>0</v>
      </c>
      <c r="I67" s="366">
        <f t="shared" ref="I67:I75" si="52">Z67-AL67</f>
        <v>0</v>
      </c>
      <c r="J67" s="367">
        <f t="shared" si="48"/>
        <v>90000</v>
      </c>
      <c r="K67" s="693">
        <f t="shared" ref="K67:K75" si="53">AB67-AL67</f>
        <v>0</v>
      </c>
      <c r="L67" s="368"/>
      <c r="M67" s="368"/>
      <c r="N67" s="368"/>
      <c r="O67" s="368"/>
      <c r="P67" s="368"/>
      <c r="Q67" s="368"/>
      <c r="R67" s="368"/>
      <c r="S67" s="368"/>
      <c r="T67" s="368"/>
      <c r="U67" s="622"/>
      <c r="V67" s="787"/>
      <c r="W67" s="349"/>
      <c r="X67" s="349">
        <v>90000</v>
      </c>
      <c r="Y67" s="349"/>
      <c r="Z67" s="370"/>
      <c r="AA67" s="349"/>
      <c r="AB67" s="350"/>
      <c r="AC67" s="371"/>
      <c r="AD67" s="371"/>
      <c r="AE67" s="371"/>
      <c r="AF67" s="371"/>
      <c r="AG67" s="371"/>
      <c r="AH67" s="371"/>
      <c r="AI67" s="371"/>
      <c r="AJ67" s="371"/>
      <c r="AK67" s="413"/>
      <c r="AL67" s="411"/>
      <c r="AM67" s="788">
        <f t="shared" si="46"/>
        <v>90000</v>
      </c>
      <c r="AN67" s="369"/>
    </row>
    <row r="68" spans="1:40" s="785" customFormat="1" ht="21.75" thickBot="1" x14ac:dyDescent="0.4">
      <c r="A68" s="847" t="s">
        <v>28</v>
      </c>
      <c r="B68" s="830">
        <v>3443</v>
      </c>
      <c r="C68" s="831" t="s">
        <v>358</v>
      </c>
      <c r="D68" s="832" t="s">
        <v>362</v>
      </c>
      <c r="E68" s="833"/>
      <c r="F68" s="834"/>
      <c r="G68" s="834">
        <f t="shared" si="50"/>
        <v>0</v>
      </c>
      <c r="H68" s="834"/>
      <c r="I68" s="833"/>
      <c r="J68" s="835">
        <f t="shared" si="48"/>
        <v>0</v>
      </c>
      <c r="K68" s="836"/>
      <c r="L68" s="837"/>
      <c r="M68" s="837"/>
      <c r="N68" s="837"/>
      <c r="O68" s="837"/>
      <c r="P68" s="837"/>
      <c r="Q68" s="837"/>
      <c r="R68" s="837"/>
      <c r="S68" s="837"/>
      <c r="T68" s="837"/>
      <c r="U68" s="839"/>
      <c r="V68" s="848"/>
      <c r="W68" s="833"/>
      <c r="X68" s="833">
        <v>30000</v>
      </c>
      <c r="Y68" s="833"/>
      <c r="Z68" s="840"/>
      <c r="AA68" s="833"/>
      <c r="AB68" s="836"/>
      <c r="AC68" s="837"/>
      <c r="AD68" s="837"/>
      <c r="AE68" s="837"/>
      <c r="AF68" s="837"/>
      <c r="AG68" s="837"/>
      <c r="AH68" s="837"/>
      <c r="AI68" s="837"/>
      <c r="AJ68" s="837"/>
      <c r="AK68" s="841"/>
      <c r="AL68" s="842">
        <f>7200+22800</f>
        <v>30000</v>
      </c>
      <c r="AM68" s="849">
        <f t="shared" si="46"/>
        <v>0</v>
      </c>
      <c r="AN68" s="844" t="s">
        <v>391</v>
      </c>
    </row>
    <row r="69" spans="1:40" s="785" customFormat="1" ht="21.75" thickBot="1" x14ac:dyDescent="0.4">
      <c r="A69" s="789" t="s">
        <v>28</v>
      </c>
      <c r="B69" s="361">
        <v>3454</v>
      </c>
      <c r="C69" s="632" t="s">
        <v>357</v>
      </c>
      <c r="D69" s="633" t="s">
        <v>361</v>
      </c>
      <c r="E69" s="366">
        <f t="shared" si="49"/>
        <v>0</v>
      </c>
      <c r="F69" s="602">
        <f t="shared" si="47"/>
        <v>0</v>
      </c>
      <c r="G69" s="602">
        <f t="shared" si="50"/>
        <v>0</v>
      </c>
      <c r="H69" s="602">
        <f t="shared" si="51"/>
        <v>60000</v>
      </c>
      <c r="I69" s="366">
        <f t="shared" si="52"/>
        <v>0</v>
      </c>
      <c r="J69" s="367">
        <f t="shared" si="48"/>
        <v>60000</v>
      </c>
      <c r="K69" s="693">
        <f t="shared" si="53"/>
        <v>0</v>
      </c>
      <c r="L69" s="368"/>
      <c r="M69" s="368"/>
      <c r="N69" s="368"/>
      <c r="O69" s="368"/>
      <c r="P69" s="368"/>
      <c r="Q69" s="368"/>
      <c r="R69" s="368"/>
      <c r="S69" s="368"/>
      <c r="T69" s="368"/>
      <c r="U69" s="622"/>
      <c r="V69" s="787"/>
      <c r="W69" s="349"/>
      <c r="X69" s="349"/>
      <c r="Y69" s="349">
        <v>60000</v>
      </c>
      <c r="Z69" s="370"/>
      <c r="AA69" s="349"/>
      <c r="AB69" s="350"/>
      <c r="AC69" s="371"/>
      <c r="AD69" s="371"/>
      <c r="AE69" s="371"/>
      <c r="AF69" s="371"/>
      <c r="AG69" s="371"/>
      <c r="AH69" s="371"/>
      <c r="AI69" s="371"/>
      <c r="AJ69" s="371"/>
      <c r="AK69" s="413"/>
      <c r="AL69" s="411">
        <v>0</v>
      </c>
      <c r="AM69" s="788">
        <f t="shared" si="46"/>
        <v>60000</v>
      </c>
      <c r="AN69" s="369"/>
    </row>
    <row r="70" spans="1:40" s="785" customFormat="1" ht="21.75" thickBot="1" x14ac:dyDescent="0.4">
      <c r="A70" s="847" t="s">
        <v>28</v>
      </c>
      <c r="B70" s="830">
        <v>3443</v>
      </c>
      <c r="C70" s="831" t="s">
        <v>358</v>
      </c>
      <c r="D70" s="832" t="s">
        <v>362</v>
      </c>
      <c r="E70" s="833"/>
      <c r="F70" s="834"/>
      <c r="G70" s="834"/>
      <c r="H70" s="834">
        <f t="shared" si="51"/>
        <v>0</v>
      </c>
      <c r="I70" s="833"/>
      <c r="J70" s="835">
        <f t="shared" si="48"/>
        <v>0</v>
      </c>
      <c r="K70" s="836"/>
      <c r="L70" s="837"/>
      <c r="M70" s="837"/>
      <c r="N70" s="837"/>
      <c r="O70" s="837"/>
      <c r="P70" s="837"/>
      <c r="Q70" s="837"/>
      <c r="R70" s="837"/>
      <c r="S70" s="837"/>
      <c r="T70" s="837"/>
      <c r="U70" s="839"/>
      <c r="V70" s="848"/>
      <c r="W70" s="833"/>
      <c r="X70" s="833"/>
      <c r="Y70" s="833">
        <v>30000</v>
      </c>
      <c r="Z70" s="840"/>
      <c r="AA70" s="833"/>
      <c r="AB70" s="836"/>
      <c r="AC70" s="837"/>
      <c r="AD70" s="837"/>
      <c r="AE70" s="837"/>
      <c r="AF70" s="837"/>
      <c r="AG70" s="837"/>
      <c r="AH70" s="837"/>
      <c r="AI70" s="837"/>
      <c r="AJ70" s="837"/>
      <c r="AK70" s="841"/>
      <c r="AL70" s="842">
        <f>7200+22800</f>
        <v>30000</v>
      </c>
      <c r="AM70" s="849">
        <f t="shared" si="46"/>
        <v>0</v>
      </c>
      <c r="AN70" s="844" t="s">
        <v>422</v>
      </c>
    </row>
    <row r="71" spans="1:40" s="785" customFormat="1" ht="21.75" thickBot="1" x14ac:dyDescent="0.4">
      <c r="A71" s="789" t="s">
        <v>28</v>
      </c>
      <c r="B71" s="361">
        <v>3455</v>
      </c>
      <c r="C71" s="632" t="s">
        <v>357</v>
      </c>
      <c r="D71" s="633" t="s">
        <v>361</v>
      </c>
      <c r="E71" s="366">
        <f t="shared" si="49"/>
        <v>0</v>
      </c>
      <c r="F71" s="602">
        <f t="shared" si="47"/>
        <v>0</v>
      </c>
      <c r="G71" s="602">
        <f t="shared" si="50"/>
        <v>0</v>
      </c>
      <c r="H71" s="602">
        <f t="shared" si="51"/>
        <v>0</v>
      </c>
      <c r="I71" s="366">
        <f t="shared" si="52"/>
        <v>60000</v>
      </c>
      <c r="J71" s="367">
        <f t="shared" si="48"/>
        <v>60000</v>
      </c>
      <c r="K71" s="693">
        <f t="shared" si="53"/>
        <v>0</v>
      </c>
      <c r="L71" s="368"/>
      <c r="M71" s="368"/>
      <c r="N71" s="368"/>
      <c r="O71" s="368"/>
      <c r="P71" s="368"/>
      <c r="Q71" s="368"/>
      <c r="R71" s="368"/>
      <c r="S71" s="368"/>
      <c r="T71" s="368"/>
      <c r="U71" s="622"/>
      <c r="V71" s="787"/>
      <c r="W71" s="349"/>
      <c r="X71" s="349"/>
      <c r="Y71" s="349"/>
      <c r="Z71" s="370">
        <v>60000</v>
      </c>
      <c r="AA71" s="349"/>
      <c r="AB71" s="350"/>
      <c r="AC71" s="371"/>
      <c r="AD71" s="371"/>
      <c r="AE71" s="371"/>
      <c r="AF71" s="371"/>
      <c r="AG71" s="371"/>
      <c r="AH71" s="371"/>
      <c r="AI71" s="371"/>
      <c r="AJ71" s="371"/>
      <c r="AK71" s="413"/>
      <c r="AL71" s="411"/>
      <c r="AM71" s="788">
        <f t="shared" si="46"/>
        <v>60000</v>
      </c>
      <c r="AN71" s="369"/>
    </row>
    <row r="72" spans="1:40" s="785" customFormat="1" ht="21.75" thickBot="1" x14ac:dyDescent="0.4">
      <c r="A72" s="847" t="s">
        <v>28</v>
      </c>
      <c r="B72" s="830">
        <v>3443</v>
      </c>
      <c r="C72" s="831" t="s">
        <v>358</v>
      </c>
      <c r="D72" s="832" t="s">
        <v>362</v>
      </c>
      <c r="E72" s="833"/>
      <c r="F72" s="834"/>
      <c r="G72" s="834"/>
      <c r="H72" s="834"/>
      <c r="I72" s="833">
        <f t="shared" si="52"/>
        <v>0</v>
      </c>
      <c r="J72" s="835">
        <f t="shared" si="48"/>
        <v>0</v>
      </c>
      <c r="K72" s="836"/>
      <c r="L72" s="837"/>
      <c r="M72" s="837"/>
      <c r="N72" s="837"/>
      <c r="O72" s="837"/>
      <c r="P72" s="837"/>
      <c r="Q72" s="837"/>
      <c r="R72" s="837"/>
      <c r="S72" s="837"/>
      <c r="T72" s="837"/>
      <c r="U72" s="839"/>
      <c r="V72" s="848"/>
      <c r="W72" s="833"/>
      <c r="X72" s="833"/>
      <c r="Y72" s="833"/>
      <c r="Z72" s="840">
        <v>30000</v>
      </c>
      <c r="AA72" s="833"/>
      <c r="AB72" s="836"/>
      <c r="AC72" s="837"/>
      <c r="AD72" s="837"/>
      <c r="AE72" s="837"/>
      <c r="AF72" s="837"/>
      <c r="AG72" s="837"/>
      <c r="AH72" s="837"/>
      <c r="AI72" s="837"/>
      <c r="AJ72" s="837"/>
      <c r="AK72" s="841"/>
      <c r="AL72" s="842">
        <f>7200+22800</f>
        <v>30000</v>
      </c>
      <c r="AM72" s="849">
        <f t="shared" si="46"/>
        <v>0</v>
      </c>
      <c r="AN72" s="844" t="s">
        <v>422</v>
      </c>
    </row>
    <row r="73" spans="1:40" s="785" customFormat="1" ht="21.75" thickBot="1" x14ac:dyDescent="0.4">
      <c r="A73" s="789" t="s">
        <v>28</v>
      </c>
      <c r="B73" s="361">
        <v>3457</v>
      </c>
      <c r="C73" s="632" t="s">
        <v>357</v>
      </c>
      <c r="D73" s="633" t="s">
        <v>361</v>
      </c>
      <c r="E73" s="366">
        <f t="shared" si="49"/>
        <v>0</v>
      </c>
      <c r="F73" s="602">
        <f t="shared" si="47"/>
        <v>0</v>
      </c>
      <c r="G73" s="602">
        <f t="shared" si="50"/>
        <v>0</v>
      </c>
      <c r="H73" s="602">
        <f t="shared" si="51"/>
        <v>0</v>
      </c>
      <c r="I73" s="366">
        <f t="shared" si="52"/>
        <v>0</v>
      </c>
      <c r="J73" s="367">
        <f t="shared" si="48"/>
        <v>0</v>
      </c>
      <c r="K73" s="693">
        <f t="shared" si="53"/>
        <v>200000</v>
      </c>
      <c r="L73" s="368"/>
      <c r="M73" s="368"/>
      <c r="N73" s="368"/>
      <c r="O73" s="368"/>
      <c r="P73" s="368"/>
      <c r="Q73" s="368"/>
      <c r="R73" s="368"/>
      <c r="S73" s="368"/>
      <c r="T73" s="368"/>
      <c r="U73" s="622"/>
      <c r="V73" s="787"/>
      <c r="W73" s="349"/>
      <c r="X73" s="349"/>
      <c r="Y73" s="349"/>
      <c r="Z73" s="370"/>
      <c r="AA73" s="349"/>
      <c r="AB73" s="350">
        <v>200000</v>
      </c>
      <c r="AC73" s="371"/>
      <c r="AD73" s="371"/>
      <c r="AE73" s="371"/>
      <c r="AF73" s="371"/>
      <c r="AG73" s="371"/>
      <c r="AH73" s="371"/>
      <c r="AI73" s="371"/>
      <c r="AJ73" s="371"/>
      <c r="AK73" s="413"/>
      <c r="AL73" s="411"/>
      <c r="AM73" s="788">
        <f t="shared" si="46"/>
        <v>200000</v>
      </c>
      <c r="AN73" s="369"/>
    </row>
    <row r="74" spans="1:40" s="785" customFormat="1" ht="21.75" thickBot="1" x14ac:dyDescent="0.4">
      <c r="A74" s="789" t="s">
        <v>28</v>
      </c>
      <c r="B74" s="361">
        <v>3456</v>
      </c>
      <c r="C74" s="632" t="s">
        <v>357</v>
      </c>
      <c r="D74" s="633" t="s">
        <v>361</v>
      </c>
      <c r="E74" s="366">
        <f t="shared" si="49"/>
        <v>0</v>
      </c>
      <c r="F74" s="602">
        <f t="shared" si="47"/>
        <v>0</v>
      </c>
      <c r="G74" s="602">
        <f t="shared" si="50"/>
        <v>0</v>
      </c>
      <c r="H74" s="602">
        <f t="shared" si="51"/>
        <v>0</v>
      </c>
      <c r="I74" s="366">
        <f t="shared" si="52"/>
        <v>0</v>
      </c>
      <c r="J74" s="367">
        <f t="shared" si="48"/>
        <v>0</v>
      </c>
      <c r="K74" s="693">
        <f t="shared" si="53"/>
        <v>0</v>
      </c>
      <c r="L74" s="368"/>
      <c r="M74" s="368"/>
      <c r="N74" s="368"/>
      <c r="O74" s="368"/>
      <c r="P74" s="368">
        <f>AG74-AL74</f>
        <v>2000</v>
      </c>
      <c r="Q74" s="368"/>
      <c r="R74" s="368"/>
      <c r="S74" s="368"/>
      <c r="T74" s="368"/>
      <c r="U74" s="622"/>
      <c r="V74" s="787"/>
      <c r="W74" s="349"/>
      <c r="X74" s="349"/>
      <c r="Y74" s="349"/>
      <c r="Z74" s="370"/>
      <c r="AA74" s="349"/>
      <c r="AB74" s="350"/>
      <c r="AC74" s="371"/>
      <c r="AD74" s="371"/>
      <c r="AE74" s="371"/>
      <c r="AF74" s="371"/>
      <c r="AG74" s="371">
        <v>2000</v>
      </c>
      <c r="AH74" s="371"/>
      <c r="AI74" s="371"/>
      <c r="AJ74" s="371"/>
      <c r="AK74" s="413"/>
      <c r="AL74" s="411"/>
      <c r="AM74" s="788">
        <f t="shared" si="46"/>
        <v>2000</v>
      </c>
      <c r="AN74" s="369"/>
    </row>
    <row r="75" spans="1:40" s="785" customFormat="1" ht="21.75" thickBot="1" x14ac:dyDescent="0.4">
      <c r="A75" s="363" t="s">
        <v>28</v>
      </c>
      <c r="B75" s="361">
        <v>3457</v>
      </c>
      <c r="C75" s="632" t="s">
        <v>357</v>
      </c>
      <c r="D75" s="633" t="s">
        <v>361</v>
      </c>
      <c r="E75" s="366">
        <f t="shared" si="49"/>
        <v>0</v>
      </c>
      <c r="F75" s="602">
        <f t="shared" si="47"/>
        <v>0</v>
      </c>
      <c r="G75" s="602">
        <f t="shared" si="50"/>
        <v>0</v>
      </c>
      <c r="H75" s="602">
        <f t="shared" si="51"/>
        <v>0</v>
      </c>
      <c r="I75" s="366">
        <f t="shared" si="52"/>
        <v>0</v>
      </c>
      <c r="J75" s="367">
        <f t="shared" si="48"/>
        <v>0</v>
      </c>
      <c r="K75" s="693">
        <f t="shared" si="53"/>
        <v>0</v>
      </c>
      <c r="L75" s="368"/>
      <c r="M75" s="368"/>
      <c r="N75" s="368"/>
      <c r="O75" s="368"/>
      <c r="P75" s="368"/>
      <c r="Q75" s="368">
        <f>AH75-AL75</f>
        <v>100000</v>
      </c>
      <c r="R75" s="368"/>
      <c r="S75" s="368"/>
      <c r="T75" s="368"/>
      <c r="U75" s="622"/>
      <c r="V75" s="787"/>
      <c r="W75" s="349"/>
      <c r="X75" s="349"/>
      <c r="Y75" s="349"/>
      <c r="Z75" s="370"/>
      <c r="AA75" s="349"/>
      <c r="AB75" s="350"/>
      <c r="AC75" s="371"/>
      <c r="AD75" s="371"/>
      <c r="AE75" s="371"/>
      <c r="AF75" s="371"/>
      <c r="AG75" s="371"/>
      <c r="AH75" s="371">
        <v>100000</v>
      </c>
      <c r="AI75" s="371"/>
      <c r="AJ75" s="371"/>
      <c r="AK75" s="413"/>
      <c r="AL75" s="411"/>
      <c r="AM75" s="788">
        <f t="shared" si="46"/>
        <v>100000</v>
      </c>
      <c r="AN75" s="369"/>
    </row>
    <row r="76" spans="1:40" s="785" customFormat="1" ht="21.75" thickBot="1" x14ac:dyDescent="0.4">
      <c r="A76" s="363" t="s">
        <v>28</v>
      </c>
      <c r="B76" s="361">
        <v>3459</v>
      </c>
      <c r="C76" s="632" t="s">
        <v>364</v>
      </c>
      <c r="D76" s="633" t="s">
        <v>361</v>
      </c>
      <c r="E76" s="366"/>
      <c r="F76" s="602"/>
      <c r="G76" s="602"/>
      <c r="H76" s="602"/>
      <c r="I76" s="366"/>
      <c r="J76" s="367"/>
      <c r="K76" s="693"/>
      <c r="L76" s="368"/>
      <c r="M76" s="368"/>
      <c r="N76" s="368">
        <f>AE76-AL76</f>
        <v>7000</v>
      </c>
      <c r="O76" s="368"/>
      <c r="P76" s="368"/>
      <c r="Q76" s="368"/>
      <c r="R76" s="368"/>
      <c r="S76" s="368"/>
      <c r="T76" s="368"/>
      <c r="U76" s="622"/>
      <c r="V76" s="349"/>
      <c r="W76" s="349"/>
      <c r="X76" s="349"/>
      <c r="Y76" s="349"/>
      <c r="Z76" s="370"/>
      <c r="AA76" s="349"/>
      <c r="AB76" s="350"/>
      <c r="AC76" s="798"/>
      <c r="AD76" s="371"/>
      <c r="AE76" s="371">
        <v>7000</v>
      </c>
      <c r="AF76" s="371"/>
      <c r="AG76" s="371"/>
      <c r="AH76" s="371"/>
      <c r="AI76" s="371"/>
      <c r="AJ76" s="371"/>
      <c r="AK76" s="413"/>
      <c r="AL76" s="411"/>
      <c r="AM76" s="788">
        <f t="shared" si="46"/>
        <v>7000</v>
      </c>
      <c r="AN76" s="369"/>
    </row>
    <row r="77" spans="1:40" s="785" customFormat="1" ht="21.75" thickBot="1" x14ac:dyDescent="0.4">
      <c r="A77" s="363" t="s">
        <v>28</v>
      </c>
      <c r="B77" s="361">
        <v>3458</v>
      </c>
      <c r="C77" s="632" t="s">
        <v>357</v>
      </c>
      <c r="D77" s="633" t="s">
        <v>361</v>
      </c>
      <c r="E77" s="366"/>
      <c r="F77" s="602"/>
      <c r="G77" s="602"/>
      <c r="H77" s="602"/>
      <c r="I77" s="366"/>
      <c r="J77" s="367"/>
      <c r="K77" s="693"/>
      <c r="L77" s="368">
        <f>AC77-AL77</f>
        <v>150000</v>
      </c>
      <c r="M77" s="368"/>
      <c r="N77" s="368"/>
      <c r="O77" s="368"/>
      <c r="P77" s="368"/>
      <c r="Q77" s="368"/>
      <c r="R77" s="368"/>
      <c r="S77" s="368"/>
      <c r="T77" s="368"/>
      <c r="U77" s="622"/>
      <c r="V77" s="349"/>
      <c r="W77" s="349"/>
      <c r="X77" s="349"/>
      <c r="Y77" s="349"/>
      <c r="Z77" s="370"/>
      <c r="AA77" s="349"/>
      <c r="AB77" s="350"/>
      <c r="AC77" s="798">
        <v>150000</v>
      </c>
      <c r="AD77" s="371"/>
      <c r="AE77" s="371"/>
      <c r="AF77" s="371"/>
      <c r="AG77" s="371"/>
      <c r="AH77" s="371"/>
      <c r="AI77" s="371"/>
      <c r="AJ77" s="371"/>
      <c r="AK77" s="413"/>
      <c r="AL77" s="806"/>
      <c r="AM77" s="788">
        <f t="shared" si="46"/>
        <v>150000</v>
      </c>
      <c r="AN77" s="369"/>
    </row>
    <row r="78" spans="1:40" s="785" customFormat="1" ht="21.75" thickBot="1" x14ac:dyDescent="0.4">
      <c r="A78" s="363" t="s">
        <v>28</v>
      </c>
      <c r="B78" s="361">
        <v>3538</v>
      </c>
      <c r="C78" s="632">
        <v>45996</v>
      </c>
      <c r="D78" s="633">
        <v>46203</v>
      </c>
      <c r="E78" s="366">
        <f>V78-AL78</f>
        <v>225000</v>
      </c>
      <c r="F78" s="602"/>
      <c r="G78" s="602"/>
      <c r="H78" s="602"/>
      <c r="I78" s="366"/>
      <c r="J78" s="367"/>
      <c r="K78" s="366"/>
      <c r="L78" s="846"/>
      <c r="M78" s="368"/>
      <c r="N78" s="368"/>
      <c r="O78" s="368"/>
      <c r="P78" s="368"/>
      <c r="Q78" s="368"/>
      <c r="R78" s="368"/>
      <c r="S78" s="368"/>
      <c r="T78" s="368"/>
      <c r="U78" s="622"/>
      <c r="V78" s="349">
        <v>225000</v>
      </c>
      <c r="W78" s="349"/>
      <c r="X78" s="349"/>
      <c r="Y78" s="349"/>
      <c r="Z78" s="370"/>
      <c r="AA78" s="349"/>
      <c r="AB78" s="349"/>
      <c r="AC78" s="371"/>
      <c r="AD78" s="371"/>
      <c r="AE78" s="371"/>
      <c r="AF78" s="371"/>
      <c r="AG78" s="371"/>
      <c r="AH78" s="371"/>
      <c r="AI78" s="371"/>
      <c r="AJ78" s="371"/>
      <c r="AK78" s="371"/>
      <c r="AL78" s="411"/>
      <c r="AM78" s="788">
        <f t="shared" si="46"/>
        <v>225000</v>
      </c>
      <c r="AN78" s="369"/>
    </row>
    <row r="79" spans="1:40" s="785" customFormat="1" ht="21.75" thickBot="1" x14ac:dyDescent="0.4">
      <c r="A79" s="789" t="s">
        <v>28</v>
      </c>
      <c r="B79" s="361">
        <v>3569</v>
      </c>
      <c r="C79" s="632">
        <v>46078</v>
      </c>
      <c r="D79" s="633">
        <v>46142</v>
      </c>
      <c r="E79" s="366">
        <f t="shared" ref="E79" si="54">V79-AL79</f>
        <v>0</v>
      </c>
      <c r="F79" s="602">
        <f t="shared" ref="F79" si="55">W79-AL79</f>
        <v>0</v>
      </c>
      <c r="G79" s="602">
        <f t="shared" ref="G79" si="56">X79-AL79</f>
        <v>0</v>
      </c>
      <c r="H79" s="602">
        <f t="shared" ref="H79" si="57">Y79-AL79</f>
        <v>0</v>
      </c>
      <c r="I79" s="366">
        <f t="shared" ref="I79" si="58">Z79-AL79</f>
        <v>0</v>
      </c>
      <c r="J79" s="367">
        <f t="shared" ref="J79" si="59">SUM(F79:I79)</f>
        <v>0</v>
      </c>
      <c r="K79" s="693">
        <f t="shared" ref="K79" si="60">AB79-AL79</f>
        <v>2000000</v>
      </c>
      <c r="L79" s="368"/>
      <c r="M79" s="368"/>
      <c r="N79" s="368"/>
      <c r="O79" s="368"/>
      <c r="P79" s="368"/>
      <c r="Q79" s="368"/>
      <c r="R79" s="368"/>
      <c r="S79" s="368"/>
      <c r="T79" s="368"/>
      <c r="U79" s="622"/>
      <c r="V79" s="787"/>
      <c r="W79" s="349"/>
      <c r="X79" s="349"/>
      <c r="Y79" s="349"/>
      <c r="Z79" s="370"/>
      <c r="AA79" s="349"/>
      <c r="AB79" s="350">
        <v>2000000</v>
      </c>
      <c r="AC79" s="371"/>
      <c r="AD79" s="371"/>
      <c r="AE79" s="371"/>
      <c r="AF79" s="371"/>
      <c r="AG79" s="371"/>
      <c r="AH79" s="371"/>
      <c r="AI79" s="371"/>
      <c r="AJ79" s="371"/>
      <c r="AK79" s="413"/>
      <c r="AL79" s="411"/>
      <c r="AM79" s="788">
        <f t="shared" ref="AM79" si="61">(V79+W79+X79+Y79+Z79+AB79+AC79+AD79+AE79+AF79+AG79+AH79+AI79+AJ79+AK79)-AL79</f>
        <v>2000000</v>
      </c>
      <c r="AN79" s="369"/>
    </row>
    <row r="80" spans="1:40" s="39" customFormat="1" ht="23.25" customHeight="1" thickBot="1" x14ac:dyDescent="0.4">
      <c r="A80" s="418" t="s">
        <v>28</v>
      </c>
      <c r="B80" s="419" t="s">
        <v>24</v>
      </c>
      <c r="C80" s="420"/>
      <c r="D80" s="421"/>
      <c r="E80" s="422">
        <f>SUM(E63:E79)</f>
        <v>225000</v>
      </c>
      <c r="F80" s="422">
        <f t="shared" ref="E80:AK80" si="62">SUM(F63:F79)</f>
        <v>255000</v>
      </c>
      <c r="G80" s="422">
        <f t="shared" si="62"/>
        <v>186000</v>
      </c>
      <c r="H80" s="422">
        <f>SUM(H63:H79)</f>
        <v>60000</v>
      </c>
      <c r="I80" s="422">
        <f t="shared" si="62"/>
        <v>60000</v>
      </c>
      <c r="J80" s="422">
        <f t="shared" si="62"/>
        <v>561000</v>
      </c>
      <c r="K80" s="422">
        <f>SUM(K63:K79)</f>
        <v>2200000</v>
      </c>
      <c r="L80" s="422">
        <f t="shared" si="62"/>
        <v>150000</v>
      </c>
      <c r="M80" s="422">
        <f t="shared" si="62"/>
        <v>0</v>
      </c>
      <c r="N80" s="422">
        <f t="shared" si="62"/>
        <v>7000</v>
      </c>
      <c r="O80" s="422">
        <f t="shared" si="62"/>
        <v>0</v>
      </c>
      <c r="P80" s="422">
        <f t="shared" si="62"/>
        <v>2000</v>
      </c>
      <c r="Q80" s="422">
        <f t="shared" si="62"/>
        <v>100000</v>
      </c>
      <c r="R80" s="422">
        <f t="shared" si="62"/>
        <v>0</v>
      </c>
      <c r="S80" s="422">
        <f t="shared" si="62"/>
        <v>0</v>
      </c>
      <c r="T80" s="422">
        <f t="shared" si="62"/>
        <v>0</v>
      </c>
      <c r="U80" s="622">
        <f t="shared" si="62"/>
        <v>0</v>
      </c>
      <c r="V80" s="422">
        <f t="shared" si="62"/>
        <v>225000</v>
      </c>
      <c r="W80" s="422">
        <f t="shared" si="62"/>
        <v>285000</v>
      </c>
      <c r="X80" s="422">
        <f t="shared" si="62"/>
        <v>216000</v>
      </c>
      <c r="Y80" s="422">
        <f t="shared" si="62"/>
        <v>90000</v>
      </c>
      <c r="Z80" s="422">
        <f t="shared" si="62"/>
        <v>90000</v>
      </c>
      <c r="AA80" s="422">
        <f t="shared" si="62"/>
        <v>201000</v>
      </c>
      <c r="AB80" s="579">
        <f t="shared" si="62"/>
        <v>2200000</v>
      </c>
      <c r="AC80" s="422">
        <f t="shared" si="62"/>
        <v>150000</v>
      </c>
      <c r="AD80" s="422">
        <f t="shared" si="62"/>
        <v>0</v>
      </c>
      <c r="AE80" s="422">
        <f t="shared" si="62"/>
        <v>7000</v>
      </c>
      <c r="AF80" s="422">
        <f t="shared" si="62"/>
        <v>0</v>
      </c>
      <c r="AG80" s="422">
        <f t="shared" si="62"/>
        <v>2000</v>
      </c>
      <c r="AH80" s="422">
        <f t="shared" si="62"/>
        <v>100000</v>
      </c>
      <c r="AI80" s="422">
        <f t="shared" si="62"/>
        <v>0</v>
      </c>
      <c r="AJ80" s="422">
        <f t="shared" si="62"/>
        <v>0</v>
      </c>
      <c r="AK80" s="422">
        <f t="shared" si="62"/>
        <v>0</v>
      </c>
      <c r="AL80" s="797"/>
      <c r="AM80" s="425">
        <f>SUM(AM63:AM79)</f>
        <v>3245000</v>
      </c>
      <c r="AN80" s="426"/>
    </row>
    <row r="81" spans="1:40" s="39" customFormat="1" ht="21.75" thickBot="1" x14ac:dyDescent="0.4">
      <c r="A81" s="360" t="s">
        <v>80</v>
      </c>
      <c r="B81" s="412">
        <v>3212</v>
      </c>
      <c r="C81" s="414" t="s">
        <v>165</v>
      </c>
      <c r="D81" s="415" t="s">
        <v>164</v>
      </c>
      <c r="E81" s="348"/>
      <c r="F81" s="604">
        <f>W81-AL81</f>
        <v>3000</v>
      </c>
      <c r="G81" s="348"/>
      <c r="H81" s="348"/>
      <c r="I81" s="348"/>
      <c r="J81" s="344">
        <f t="shared" ref="J81" si="63">SUM(F81:I81)</f>
        <v>3000</v>
      </c>
      <c r="K81" s="351"/>
      <c r="L81" s="345"/>
      <c r="M81" s="345"/>
      <c r="N81" s="345"/>
      <c r="O81" s="345"/>
      <c r="P81" s="345"/>
      <c r="Q81" s="345"/>
      <c r="R81" s="345"/>
      <c r="S81" s="345"/>
      <c r="T81" s="345"/>
      <c r="U81" s="622"/>
      <c r="V81" s="349"/>
      <c r="W81" s="370">
        <v>3000</v>
      </c>
      <c r="X81" s="370"/>
      <c r="Y81" s="370"/>
      <c r="Z81" s="370"/>
      <c r="AA81" s="346">
        <f>SUM(W81:Z81)</f>
        <v>3000</v>
      </c>
      <c r="AB81" s="350"/>
      <c r="AC81" s="347"/>
      <c r="AD81" s="347"/>
      <c r="AE81" s="347"/>
      <c r="AF81" s="347"/>
      <c r="AG81" s="347"/>
      <c r="AH81" s="347"/>
      <c r="AI81" s="347"/>
      <c r="AJ81" s="347"/>
      <c r="AK81" s="443"/>
      <c r="AL81" s="411">
        <v>0</v>
      </c>
      <c r="AM81" s="373">
        <f t="shared" ref="AM81" si="64">(V81+W81+X81+Y81+Z81+AB81+AC81+AD81+AE81+AF81+AG81+AH81+AI81+AJ81+AK81)-AL81</f>
        <v>3000</v>
      </c>
      <c r="AN81" s="439" t="s">
        <v>170</v>
      </c>
    </row>
    <row r="82" spans="1:40" s="364" customFormat="1" ht="21.75" thickBot="1" x14ac:dyDescent="0.4">
      <c r="A82" s="363" t="s">
        <v>80</v>
      </c>
      <c r="B82" s="361">
        <v>3338</v>
      </c>
      <c r="C82" s="400" t="s">
        <v>223</v>
      </c>
      <c r="D82" s="401" t="s">
        <v>224</v>
      </c>
      <c r="E82" s="348">
        <f>V82-AL82</f>
        <v>58825</v>
      </c>
      <c r="F82" s="604"/>
      <c r="G82" s="348"/>
      <c r="H82" s="348"/>
      <c r="I82" s="348"/>
      <c r="J82" s="344">
        <f t="shared" ref="J82:J83" si="65">SUM(F82:I82)</f>
        <v>0</v>
      </c>
      <c r="K82" s="351"/>
      <c r="L82" s="459"/>
      <c r="M82" s="459"/>
      <c r="N82" s="459"/>
      <c r="O82" s="459"/>
      <c r="P82" s="459"/>
      <c r="Q82" s="459"/>
      <c r="R82" s="459"/>
      <c r="S82" s="459"/>
      <c r="T82" s="459"/>
      <c r="U82" s="622"/>
      <c r="V82" s="349">
        <v>125000</v>
      </c>
      <c r="W82" s="349"/>
      <c r="X82" s="349"/>
      <c r="Y82" s="349"/>
      <c r="Z82" s="349"/>
      <c r="AA82" s="349">
        <f t="shared" ref="AA82:AA92" si="66">SUM(W82:Z82)</f>
        <v>0</v>
      </c>
      <c r="AB82" s="350"/>
      <c r="AC82" s="371"/>
      <c r="AD82" s="371"/>
      <c r="AE82" s="371"/>
      <c r="AF82" s="371"/>
      <c r="AG82" s="371"/>
      <c r="AH82" s="371"/>
      <c r="AI82" s="371"/>
      <c r="AJ82" s="371"/>
      <c r="AK82" s="413"/>
      <c r="AL82" s="411">
        <f>13675+52500</f>
        <v>66175</v>
      </c>
      <c r="AM82" s="373">
        <f t="shared" ref="AM82:AM83" si="67">(V82+W82+X82+Y82+Z82+AB82+AC82+AD82+AE82+AF82+AG82+AH82+AI82+AJ82+AK82)-AL82</f>
        <v>58825</v>
      </c>
      <c r="AN82" s="733" t="s">
        <v>248</v>
      </c>
    </row>
    <row r="83" spans="1:40" s="39" customFormat="1" ht="21.75" thickBot="1" x14ac:dyDescent="0.4">
      <c r="A83" s="360" t="s">
        <v>80</v>
      </c>
      <c r="B83" s="361">
        <v>3346</v>
      </c>
      <c r="C83" s="400">
        <v>45732</v>
      </c>
      <c r="D83" s="401">
        <v>45746</v>
      </c>
      <c r="E83" s="348"/>
      <c r="F83" s="604"/>
      <c r="G83" s="348"/>
      <c r="H83" s="348"/>
      <c r="I83" s="604">
        <f>Z83-AL83</f>
        <v>120</v>
      </c>
      <c r="J83" s="344">
        <f t="shared" si="65"/>
        <v>120</v>
      </c>
      <c r="K83" s="601"/>
      <c r="L83" s="345"/>
      <c r="M83" s="345"/>
      <c r="N83" s="345"/>
      <c r="O83" s="345"/>
      <c r="P83" s="345"/>
      <c r="Q83" s="345"/>
      <c r="R83" s="345"/>
      <c r="S83" s="345"/>
      <c r="T83" s="345"/>
      <c r="U83" s="622"/>
      <c r="V83" s="349"/>
      <c r="W83" s="349"/>
      <c r="X83" s="349"/>
      <c r="Y83" s="349"/>
      <c r="Z83" s="349">
        <v>52890</v>
      </c>
      <c r="AA83" s="346">
        <f t="shared" si="66"/>
        <v>52890</v>
      </c>
      <c r="AB83" s="350"/>
      <c r="AC83" s="794"/>
      <c r="AD83" s="347"/>
      <c r="AE83" s="347"/>
      <c r="AF83" s="347"/>
      <c r="AG83" s="347"/>
      <c r="AH83" s="347"/>
      <c r="AI83" s="347"/>
      <c r="AJ83" s="347"/>
      <c r="AK83" s="443"/>
      <c r="AL83" s="411">
        <v>52770</v>
      </c>
      <c r="AM83" s="373">
        <f t="shared" si="67"/>
        <v>120</v>
      </c>
      <c r="AN83" s="496" t="s">
        <v>231</v>
      </c>
    </row>
    <row r="84" spans="1:40" s="362" customFormat="1" ht="21.75" thickBot="1" x14ac:dyDescent="0.4">
      <c r="A84" s="360" t="s">
        <v>80</v>
      </c>
      <c r="B84" s="361">
        <v>3389</v>
      </c>
      <c r="C84" s="632" t="s">
        <v>357</v>
      </c>
      <c r="D84" s="633" t="s">
        <v>361</v>
      </c>
      <c r="E84" s="348">
        <f>V84-AL84</f>
        <v>0</v>
      </c>
      <c r="F84" s="604">
        <f>W84-AL84</f>
        <v>90000</v>
      </c>
      <c r="G84" s="604">
        <f>X84-AL84</f>
        <v>0</v>
      </c>
      <c r="H84" s="604">
        <f>Y84-AL84</f>
        <v>0</v>
      </c>
      <c r="I84" s="348">
        <f>Z84-AL84</f>
        <v>0</v>
      </c>
      <c r="J84" s="344">
        <f>SUM(F84:I84)</f>
        <v>90000</v>
      </c>
      <c r="K84" s="351">
        <f>AB84-AL84</f>
        <v>0</v>
      </c>
      <c r="L84" s="459"/>
      <c r="M84" s="732"/>
      <c r="N84" s="459"/>
      <c r="O84" s="459"/>
      <c r="P84" s="459"/>
      <c r="Q84" s="459"/>
      <c r="R84" s="459"/>
      <c r="S84" s="459"/>
      <c r="T84" s="459"/>
      <c r="U84" s="622"/>
      <c r="V84" s="349"/>
      <c r="W84" s="349">
        <v>90000</v>
      </c>
      <c r="X84" s="349"/>
      <c r="Y84" s="349"/>
      <c r="Z84" s="370"/>
      <c r="AA84" s="349">
        <f t="shared" si="66"/>
        <v>90000</v>
      </c>
      <c r="AB84" s="350"/>
      <c r="AC84" s="371"/>
      <c r="AD84" s="371"/>
      <c r="AE84" s="371"/>
      <c r="AF84" s="371"/>
      <c r="AG84" s="371"/>
      <c r="AH84" s="371"/>
      <c r="AI84" s="371"/>
      <c r="AJ84" s="371"/>
      <c r="AK84" s="413"/>
      <c r="AL84" s="411"/>
      <c r="AM84" s="373">
        <f t="shared" ref="AM84:AM99" si="68">(V84+W84+X84+Y84+Z84+AB84+AC84+AD84+AE84+AF84+AG84+AH84+AI84+AJ84+AK84)-AL84</f>
        <v>90000</v>
      </c>
      <c r="AN84" s="793"/>
    </row>
    <row r="85" spans="1:40" s="362" customFormat="1" ht="21.75" thickBot="1" x14ac:dyDescent="0.4">
      <c r="A85" s="360" t="s">
        <v>80</v>
      </c>
      <c r="B85" s="361">
        <v>3383</v>
      </c>
      <c r="C85" s="632" t="s">
        <v>360</v>
      </c>
      <c r="D85" s="633" t="s">
        <v>362</v>
      </c>
      <c r="E85" s="348"/>
      <c r="F85" s="604">
        <f t="shared" ref="F85:F92" si="69">W85-AL85</f>
        <v>12180</v>
      </c>
      <c r="G85" s="604"/>
      <c r="H85" s="604"/>
      <c r="I85" s="348"/>
      <c r="J85" s="344">
        <f t="shared" ref="J85:J92" si="70">SUM(F85:I85)</f>
        <v>12180</v>
      </c>
      <c r="K85" s="351"/>
      <c r="L85" s="459"/>
      <c r="M85" s="732"/>
      <c r="N85" s="459"/>
      <c r="O85" s="459"/>
      <c r="P85" s="459"/>
      <c r="Q85" s="459"/>
      <c r="R85" s="459"/>
      <c r="S85" s="459"/>
      <c r="T85" s="459"/>
      <c r="U85" s="622"/>
      <c r="V85" s="349"/>
      <c r="W85" s="349">
        <v>19380</v>
      </c>
      <c r="X85" s="349"/>
      <c r="Y85" s="349"/>
      <c r="Z85" s="370"/>
      <c r="AA85" s="349">
        <f t="shared" si="66"/>
        <v>19380</v>
      </c>
      <c r="AB85" s="350"/>
      <c r="AC85" s="371"/>
      <c r="AD85" s="371"/>
      <c r="AE85" s="371"/>
      <c r="AF85" s="371"/>
      <c r="AG85" s="371"/>
      <c r="AH85" s="371"/>
      <c r="AI85" s="371"/>
      <c r="AJ85" s="371"/>
      <c r="AK85" s="413"/>
      <c r="AL85" s="411">
        <v>7200</v>
      </c>
      <c r="AM85" s="373">
        <f t="shared" si="68"/>
        <v>12180</v>
      </c>
      <c r="AN85" s="793" t="s">
        <v>378</v>
      </c>
    </row>
    <row r="86" spans="1:40" s="362" customFormat="1" ht="21.75" thickBot="1" x14ac:dyDescent="0.4">
      <c r="A86" s="360" t="s">
        <v>80</v>
      </c>
      <c r="B86" s="361">
        <v>3389</v>
      </c>
      <c r="C86" s="632" t="s">
        <v>357</v>
      </c>
      <c r="D86" s="633" t="s">
        <v>361</v>
      </c>
      <c r="E86" s="348">
        <f t="shared" ref="E86:E92" si="71">V86-AL86</f>
        <v>0</v>
      </c>
      <c r="F86" s="604">
        <f t="shared" si="69"/>
        <v>0</v>
      </c>
      <c r="G86" s="604">
        <f t="shared" ref="G86:G92" si="72">X86-AL86</f>
        <v>90000</v>
      </c>
      <c r="H86" s="604">
        <f t="shared" ref="H86:H92" si="73">Y86-AL86</f>
        <v>0</v>
      </c>
      <c r="I86" s="348">
        <f t="shared" ref="I86:I92" si="74">Z86-AL86</f>
        <v>0</v>
      </c>
      <c r="J86" s="344">
        <f t="shared" si="70"/>
        <v>90000</v>
      </c>
      <c r="K86" s="351">
        <f t="shared" ref="K86:K92" si="75">AB86-AL86</f>
        <v>0</v>
      </c>
      <c r="L86" s="459"/>
      <c r="M86" s="732"/>
      <c r="N86" s="459"/>
      <c r="O86" s="459"/>
      <c r="P86" s="459"/>
      <c r="Q86" s="459"/>
      <c r="R86" s="459"/>
      <c r="S86" s="459"/>
      <c r="T86" s="459"/>
      <c r="U86" s="622"/>
      <c r="V86" s="349"/>
      <c r="W86" s="349"/>
      <c r="X86" s="349">
        <v>90000</v>
      </c>
      <c r="Y86" s="349"/>
      <c r="Z86" s="370"/>
      <c r="AA86" s="349">
        <f t="shared" si="66"/>
        <v>90000</v>
      </c>
      <c r="AB86" s="350"/>
      <c r="AC86" s="371"/>
      <c r="AD86" s="371"/>
      <c r="AE86" s="371"/>
      <c r="AF86" s="371"/>
      <c r="AG86" s="371"/>
      <c r="AH86" s="371"/>
      <c r="AI86" s="371"/>
      <c r="AJ86" s="371"/>
      <c r="AK86" s="413"/>
      <c r="AL86" s="411"/>
      <c r="AM86" s="373">
        <f t="shared" si="68"/>
        <v>90000</v>
      </c>
      <c r="AN86" s="793"/>
    </row>
    <row r="87" spans="1:40" s="362" customFormat="1" ht="21.75" thickBot="1" x14ac:dyDescent="0.4">
      <c r="A87" s="360" t="s">
        <v>80</v>
      </c>
      <c r="B87" s="361">
        <v>3390</v>
      </c>
      <c r="C87" s="632" t="s">
        <v>357</v>
      </c>
      <c r="D87" s="633" t="s">
        <v>361</v>
      </c>
      <c r="E87" s="348">
        <f t="shared" si="71"/>
        <v>0</v>
      </c>
      <c r="F87" s="604">
        <f t="shared" si="69"/>
        <v>0</v>
      </c>
      <c r="G87" s="604">
        <f t="shared" si="72"/>
        <v>0</v>
      </c>
      <c r="H87" s="604">
        <f t="shared" si="73"/>
        <v>60000</v>
      </c>
      <c r="I87" s="348">
        <f t="shared" si="74"/>
        <v>0</v>
      </c>
      <c r="J87" s="344">
        <f t="shared" si="70"/>
        <v>60000</v>
      </c>
      <c r="K87" s="351">
        <f t="shared" si="75"/>
        <v>0</v>
      </c>
      <c r="L87" s="459"/>
      <c r="M87" s="732"/>
      <c r="N87" s="459"/>
      <c r="O87" s="459"/>
      <c r="P87" s="459"/>
      <c r="Q87" s="459"/>
      <c r="R87" s="459"/>
      <c r="S87" s="459"/>
      <c r="T87" s="459"/>
      <c r="U87" s="622"/>
      <c r="V87" s="349"/>
      <c r="W87" s="349"/>
      <c r="X87" s="349"/>
      <c r="Y87" s="349">
        <v>60000</v>
      </c>
      <c r="Z87" s="370"/>
      <c r="AA87" s="349">
        <f t="shared" si="66"/>
        <v>60000</v>
      </c>
      <c r="AB87" s="350"/>
      <c r="AC87" s="371"/>
      <c r="AD87" s="371"/>
      <c r="AE87" s="371"/>
      <c r="AF87" s="371"/>
      <c r="AG87" s="371"/>
      <c r="AH87" s="371"/>
      <c r="AI87" s="371"/>
      <c r="AJ87" s="371"/>
      <c r="AK87" s="413"/>
      <c r="AL87" s="411"/>
      <c r="AM87" s="373">
        <f t="shared" si="68"/>
        <v>60000</v>
      </c>
      <c r="AN87" s="793"/>
    </row>
    <row r="88" spans="1:40" s="362" customFormat="1" ht="21.75" thickBot="1" x14ac:dyDescent="0.4">
      <c r="A88" s="360" t="s">
        <v>80</v>
      </c>
      <c r="B88" s="361">
        <v>3383</v>
      </c>
      <c r="C88" s="632" t="s">
        <v>360</v>
      </c>
      <c r="D88" s="633" t="s">
        <v>362</v>
      </c>
      <c r="E88" s="348"/>
      <c r="F88" s="604"/>
      <c r="G88" s="604"/>
      <c r="H88" s="604">
        <f>Y88-AL88</f>
        <v>22800</v>
      </c>
      <c r="I88" s="348"/>
      <c r="J88" s="344">
        <f t="shared" si="70"/>
        <v>22800</v>
      </c>
      <c r="K88" s="351"/>
      <c r="L88" s="459"/>
      <c r="M88" s="732"/>
      <c r="N88" s="459"/>
      <c r="O88" s="459"/>
      <c r="P88" s="459"/>
      <c r="Q88" s="459"/>
      <c r="R88" s="459"/>
      <c r="S88" s="459"/>
      <c r="T88" s="459"/>
      <c r="U88" s="622"/>
      <c r="V88" s="349"/>
      <c r="W88" s="349"/>
      <c r="X88" s="349"/>
      <c r="Y88" s="349">
        <v>30000</v>
      </c>
      <c r="Z88" s="370"/>
      <c r="AA88" s="349">
        <f t="shared" si="66"/>
        <v>30000</v>
      </c>
      <c r="AB88" s="350"/>
      <c r="AC88" s="371"/>
      <c r="AD88" s="371"/>
      <c r="AE88" s="371"/>
      <c r="AF88" s="371"/>
      <c r="AG88" s="371"/>
      <c r="AH88" s="371"/>
      <c r="AI88" s="371"/>
      <c r="AJ88" s="371"/>
      <c r="AK88" s="413"/>
      <c r="AL88" s="411">
        <v>7200</v>
      </c>
      <c r="AM88" s="373">
        <f t="shared" si="68"/>
        <v>22800</v>
      </c>
      <c r="AN88" s="793" t="s">
        <v>378</v>
      </c>
    </row>
    <row r="89" spans="1:40" s="362" customFormat="1" ht="21.75" thickBot="1" x14ac:dyDescent="0.4">
      <c r="A89" s="360" t="s">
        <v>80</v>
      </c>
      <c r="B89" s="361">
        <v>3391</v>
      </c>
      <c r="C89" s="632" t="s">
        <v>357</v>
      </c>
      <c r="D89" s="633" t="s">
        <v>361</v>
      </c>
      <c r="E89" s="348">
        <f t="shared" si="71"/>
        <v>0</v>
      </c>
      <c r="F89" s="604">
        <f t="shared" si="69"/>
        <v>0</v>
      </c>
      <c r="G89" s="604">
        <f t="shared" si="72"/>
        <v>0</v>
      </c>
      <c r="H89" s="604">
        <f t="shared" si="73"/>
        <v>0</v>
      </c>
      <c r="I89" s="348">
        <f t="shared" si="74"/>
        <v>60000</v>
      </c>
      <c r="J89" s="344">
        <f t="shared" si="70"/>
        <v>60000</v>
      </c>
      <c r="K89" s="351">
        <f t="shared" si="75"/>
        <v>0</v>
      </c>
      <c r="L89" s="459"/>
      <c r="M89" s="732"/>
      <c r="N89" s="459"/>
      <c r="O89" s="459"/>
      <c r="P89" s="459"/>
      <c r="Q89" s="459"/>
      <c r="R89" s="459"/>
      <c r="S89" s="459"/>
      <c r="T89" s="459"/>
      <c r="U89" s="622"/>
      <c r="V89" s="349"/>
      <c r="W89" s="349"/>
      <c r="X89" s="349"/>
      <c r="Y89" s="349"/>
      <c r="Z89" s="370">
        <v>60000</v>
      </c>
      <c r="AA89" s="349">
        <f t="shared" si="66"/>
        <v>60000</v>
      </c>
      <c r="AB89" s="350"/>
      <c r="AC89" s="371"/>
      <c r="AD89" s="371"/>
      <c r="AE89" s="371"/>
      <c r="AF89" s="371"/>
      <c r="AG89" s="371"/>
      <c r="AH89" s="371"/>
      <c r="AI89" s="371"/>
      <c r="AJ89" s="371"/>
      <c r="AK89" s="413"/>
      <c r="AL89" s="411"/>
      <c r="AM89" s="373">
        <f t="shared" si="68"/>
        <v>60000</v>
      </c>
      <c r="AN89" s="793"/>
    </row>
    <row r="90" spans="1:40" s="362" customFormat="1" ht="21.75" thickBot="1" x14ac:dyDescent="0.4">
      <c r="A90" s="360" t="s">
        <v>80</v>
      </c>
      <c r="B90" s="361">
        <v>3383</v>
      </c>
      <c r="C90" s="632" t="s">
        <v>360</v>
      </c>
      <c r="D90" s="633" t="s">
        <v>362</v>
      </c>
      <c r="E90" s="348"/>
      <c r="F90" s="604"/>
      <c r="G90" s="604"/>
      <c r="H90" s="604"/>
      <c r="I90" s="348">
        <f t="shared" si="74"/>
        <v>8400</v>
      </c>
      <c r="J90" s="344">
        <f t="shared" si="70"/>
        <v>8400</v>
      </c>
      <c r="K90" s="351"/>
      <c r="L90" s="459"/>
      <c r="M90" s="732"/>
      <c r="N90" s="459"/>
      <c r="O90" s="459"/>
      <c r="P90" s="459"/>
      <c r="Q90" s="459"/>
      <c r="R90" s="459"/>
      <c r="S90" s="459"/>
      <c r="T90" s="459"/>
      <c r="U90" s="622"/>
      <c r="V90" s="349"/>
      <c r="W90" s="349"/>
      <c r="X90" s="349"/>
      <c r="Y90" s="349"/>
      <c r="Z90" s="370">
        <v>30000</v>
      </c>
      <c r="AA90" s="349">
        <f t="shared" si="66"/>
        <v>30000</v>
      </c>
      <c r="AB90" s="350"/>
      <c r="AC90" s="371"/>
      <c r="AD90" s="371"/>
      <c r="AE90" s="371"/>
      <c r="AF90" s="371"/>
      <c r="AG90" s="371"/>
      <c r="AH90" s="371"/>
      <c r="AI90" s="371"/>
      <c r="AJ90" s="371"/>
      <c r="AK90" s="413"/>
      <c r="AL90" s="411">
        <v>21600</v>
      </c>
      <c r="AM90" s="373">
        <f t="shared" si="68"/>
        <v>8400</v>
      </c>
      <c r="AN90" s="793" t="s">
        <v>379</v>
      </c>
    </row>
    <row r="91" spans="1:40" s="362" customFormat="1" ht="21.75" thickBot="1" x14ac:dyDescent="0.4">
      <c r="A91" s="850" t="s">
        <v>80</v>
      </c>
      <c r="B91" s="830">
        <v>3382</v>
      </c>
      <c r="C91" s="831" t="s">
        <v>359</v>
      </c>
      <c r="D91" s="832" t="s">
        <v>362</v>
      </c>
      <c r="E91" s="833">
        <f t="shared" si="71"/>
        <v>0</v>
      </c>
      <c r="F91" s="834"/>
      <c r="G91" s="834"/>
      <c r="H91" s="834"/>
      <c r="I91" s="833"/>
      <c r="J91" s="835">
        <f t="shared" si="70"/>
        <v>0</v>
      </c>
      <c r="K91" s="836"/>
      <c r="L91" s="837"/>
      <c r="M91" s="838"/>
      <c r="N91" s="837"/>
      <c r="O91" s="837"/>
      <c r="P91" s="837"/>
      <c r="Q91" s="837"/>
      <c r="R91" s="837"/>
      <c r="S91" s="837"/>
      <c r="T91" s="837"/>
      <c r="U91" s="839"/>
      <c r="V91" s="833">
        <v>237500</v>
      </c>
      <c r="W91" s="833"/>
      <c r="X91" s="833"/>
      <c r="Y91" s="833"/>
      <c r="Z91" s="840"/>
      <c r="AA91" s="833">
        <f t="shared" si="66"/>
        <v>0</v>
      </c>
      <c r="AB91" s="836"/>
      <c r="AC91" s="837"/>
      <c r="AD91" s="837"/>
      <c r="AE91" s="837"/>
      <c r="AF91" s="837"/>
      <c r="AG91" s="837"/>
      <c r="AH91" s="837"/>
      <c r="AI91" s="837"/>
      <c r="AJ91" s="837"/>
      <c r="AK91" s="841"/>
      <c r="AL91" s="842">
        <f>37500+200000</f>
        <v>237500</v>
      </c>
      <c r="AM91" s="851">
        <f t="shared" si="68"/>
        <v>0</v>
      </c>
      <c r="AN91" s="852" t="s">
        <v>392</v>
      </c>
    </row>
    <row r="92" spans="1:40" s="362" customFormat="1" ht="21.75" thickBot="1" x14ac:dyDescent="0.4">
      <c r="A92" s="360" t="s">
        <v>80</v>
      </c>
      <c r="B92" s="361">
        <v>3383</v>
      </c>
      <c r="C92" s="632" t="s">
        <v>360</v>
      </c>
      <c r="D92" s="633" t="s">
        <v>362</v>
      </c>
      <c r="E92" s="348">
        <f t="shared" si="71"/>
        <v>0</v>
      </c>
      <c r="F92" s="604">
        <f t="shared" si="69"/>
        <v>0</v>
      </c>
      <c r="G92" s="604">
        <f t="shared" si="72"/>
        <v>0</v>
      </c>
      <c r="H92" s="604">
        <f t="shared" si="73"/>
        <v>0</v>
      </c>
      <c r="I92" s="348">
        <f t="shared" si="74"/>
        <v>0</v>
      </c>
      <c r="J92" s="344">
        <f t="shared" si="70"/>
        <v>0</v>
      </c>
      <c r="K92" s="351">
        <f t="shared" si="75"/>
        <v>400000</v>
      </c>
      <c r="L92" s="459"/>
      <c r="M92" s="732"/>
      <c r="N92" s="459"/>
      <c r="O92" s="459"/>
      <c r="P92" s="459"/>
      <c r="Q92" s="459"/>
      <c r="R92" s="459"/>
      <c r="S92" s="459"/>
      <c r="T92" s="459"/>
      <c r="U92" s="622"/>
      <c r="V92" s="349"/>
      <c r="W92" s="349"/>
      <c r="X92" s="349"/>
      <c r="Y92" s="349"/>
      <c r="Z92" s="370"/>
      <c r="AA92" s="349">
        <f t="shared" si="66"/>
        <v>0</v>
      </c>
      <c r="AB92" s="350">
        <v>400000</v>
      </c>
      <c r="AC92" s="371"/>
      <c r="AD92" s="371"/>
      <c r="AE92" s="371"/>
      <c r="AF92" s="371"/>
      <c r="AG92" s="371"/>
      <c r="AH92" s="371"/>
      <c r="AI92" s="371"/>
      <c r="AJ92" s="371"/>
      <c r="AK92" s="413"/>
      <c r="AL92" s="411"/>
      <c r="AM92" s="373">
        <f t="shared" si="68"/>
        <v>400000</v>
      </c>
      <c r="AN92" s="793"/>
    </row>
    <row r="93" spans="1:40" s="362" customFormat="1" ht="21.75" thickBot="1" x14ac:dyDescent="0.4">
      <c r="A93" s="360" t="s">
        <v>80</v>
      </c>
      <c r="B93" s="361">
        <v>3395</v>
      </c>
      <c r="C93" s="632" t="s">
        <v>365</v>
      </c>
      <c r="D93" s="633" t="s">
        <v>361</v>
      </c>
      <c r="E93" s="348"/>
      <c r="F93" s="604"/>
      <c r="G93" s="604"/>
      <c r="H93" s="604"/>
      <c r="I93" s="348"/>
      <c r="J93" s="344"/>
      <c r="K93" s="351"/>
      <c r="L93" s="459"/>
      <c r="M93" s="732"/>
      <c r="N93" s="459">
        <f>AE93-AL93</f>
        <v>5000</v>
      </c>
      <c r="O93" s="459"/>
      <c r="P93" s="459"/>
      <c r="Q93" s="459"/>
      <c r="R93" s="459"/>
      <c r="S93" s="459"/>
      <c r="T93" s="459"/>
      <c r="U93" s="622"/>
      <c r="V93" s="349"/>
      <c r="W93" s="349"/>
      <c r="X93" s="349"/>
      <c r="Y93" s="349"/>
      <c r="Z93" s="370"/>
      <c r="AA93" s="349"/>
      <c r="AB93" s="350"/>
      <c r="AC93" s="371"/>
      <c r="AD93" s="371"/>
      <c r="AE93" s="371">
        <v>5000</v>
      </c>
      <c r="AF93" s="371"/>
      <c r="AG93" s="371"/>
      <c r="AH93" s="371"/>
      <c r="AI93" s="371"/>
      <c r="AJ93" s="371"/>
      <c r="AK93" s="413"/>
      <c r="AL93" s="411"/>
      <c r="AM93" s="373">
        <f t="shared" si="68"/>
        <v>5000</v>
      </c>
      <c r="AN93" s="793"/>
    </row>
    <row r="94" spans="1:40" s="362" customFormat="1" ht="21.75" thickBot="1" x14ac:dyDescent="0.4">
      <c r="A94" s="360" t="s">
        <v>80</v>
      </c>
      <c r="B94" s="361">
        <v>3395</v>
      </c>
      <c r="C94" s="632" t="s">
        <v>365</v>
      </c>
      <c r="D94" s="633" t="s">
        <v>361</v>
      </c>
      <c r="E94" s="348"/>
      <c r="F94" s="604"/>
      <c r="G94" s="604"/>
      <c r="H94" s="604"/>
      <c r="I94" s="348"/>
      <c r="J94" s="344"/>
      <c r="K94" s="351"/>
      <c r="L94" s="459"/>
      <c r="M94" s="732">
        <f>AD94-AL94</f>
        <v>5000</v>
      </c>
      <c r="N94" s="459"/>
      <c r="O94" s="459"/>
      <c r="P94" s="459"/>
      <c r="Q94" s="459"/>
      <c r="R94" s="459"/>
      <c r="S94" s="459"/>
      <c r="T94" s="459"/>
      <c r="U94" s="622"/>
      <c r="V94" s="349"/>
      <c r="W94" s="349"/>
      <c r="X94" s="349"/>
      <c r="Y94" s="349"/>
      <c r="Z94" s="370"/>
      <c r="AA94" s="349"/>
      <c r="AB94" s="350"/>
      <c r="AC94" s="371"/>
      <c r="AD94" s="371">
        <v>5000</v>
      </c>
      <c r="AE94" s="371"/>
      <c r="AF94" s="371"/>
      <c r="AG94" s="371"/>
      <c r="AH94" s="371"/>
      <c r="AI94" s="371"/>
      <c r="AJ94" s="371"/>
      <c r="AK94" s="413"/>
      <c r="AL94" s="411"/>
      <c r="AM94" s="373">
        <f t="shared" si="68"/>
        <v>5000</v>
      </c>
      <c r="AN94" s="793"/>
    </row>
    <row r="95" spans="1:40" s="362" customFormat="1" ht="21.75" thickBot="1" x14ac:dyDescent="0.4">
      <c r="A95" s="360" t="s">
        <v>80</v>
      </c>
      <c r="B95" s="361">
        <v>3393</v>
      </c>
      <c r="C95" s="632" t="s">
        <v>365</v>
      </c>
      <c r="D95" s="633" t="s">
        <v>361</v>
      </c>
      <c r="E95" s="348"/>
      <c r="F95" s="604"/>
      <c r="G95" s="604"/>
      <c r="H95" s="604"/>
      <c r="I95" s="348"/>
      <c r="J95" s="344"/>
      <c r="K95" s="351">
        <f>AB95-AL95</f>
        <v>200000</v>
      </c>
      <c r="L95" s="459"/>
      <c r="M95" s="732"/>
      <c r="N95" s="459"/>
      <c r="O95" s="459"/>
      <c r="P95" s="459"/>
      <c r="Q95" s="459"/>
      <c r="R95" s="459"/>
      <c r="S95" s="459"/>
      <c r="T95" s="459"/>
      <c r="U95" s="622"/>
      <c r="V95" s="349"/>
      <c r="W95" s="349"/>
      <c r="X95" s="349"/>
      <c r="Y95" s="349"/>
      <c r="Z95" s="370"/>
      <c r="AA95" s="349"/>
      <c r="AB95" s="350">
        <v>200000</v>
      </c>
      <c r="AC95" s="371"/>
      <c r="AD95" s="371"/>
      <c r="AE95" s="371"/>
      <c r="AF95" s="371"/>
      <c r="AG95" s="371"/>
      <c r="AH95" s="371"/>
      <c r="AI95" s="371"/>
      <c r="AJ95" s="371"/>
      <c r="AK95" s="413"/>
      <c r="AL95" s="411"/>
      <c r="AM95" s="373">
        <f t="shared" si="68"/>
        <v>200000</v>
      </c>
      <c r="AN95" s="793"/>
    </row>
    <row r="96" spans="1:40" s="362" customFormat="1" ht="21.75" thickBot="1" x14ac:dyDescent="0.4">
      <c r="A96" s="360" t="s">
        <v>80</v>
      </c>
      <c r="B96" s="361">
        <v>3392</v>
      </c>
      <c r="C96" s="632" t="s">
        <v>365</v>
      </c>
      <c r="D96" s="633" t="s">
        <v>361</v>
      </c>
      <c r="E96" s="348"/>
      <c r="F96" s="604"/>
      <c r="G96" s="604"/>
      <c r="H96" s="604"/>
      <c r="I96" s="348"/>
      <c r="J96" s="344"/>
      <c r="K96" s="351"/>
      <c r="L96" s="459"/>
      <c r="M96" s="732"/>
      <c r="N96" s="459"/>
      <c r="O96" s="459"/>
      <c r="P96" s="459">
        <f>AG96-AL96</f>
        <v>1500</v>
      </c>
      <c r="Q96" s="459"/>
      <c r="R96" s="459"/>
      <c r="S96" s="459"/>
      <c r="T96" s="459"/>
      <c r="U96" s="622"/>
      <c r="V96" s="349"/>
      <c r="W96" s="349"/>
      <c r="X96" s="349"/>
      <c r="Y96" s="349"/>
      <c r="Z96" s="370"/>
      <c r="AA96" s="349"/>
      <c r="AB96" s="350"/>
      <c r="AC96" s="371"/>
      <c r="AD96" s="371"/>
      <c r="AE96" s="371"/>
      <c r="AF96" s="371"/>
      <c r="AG96" s="371">
        <v>1500</v>
      </c>
      <c r="AH96" s="371"/>
      <c r="AI96" s="371"/>
      <c r="AJ96" s="371"/>
      <c r="AK96" s="413"/>
      <c r="AL96" s="411"/>
      <c r="AM96" s="373">
        <f t="shared" si="68"/>
        <v>1500</v>
      </c>
      <c r="AN96" s="793"/>
    </row>
    <row r="97" spans="1:40" s="362" customFormat="1" ht="21.75" thickBot="1" x14ac:dyDescent="0.4">
      <c r="A97" s="360" t="s">
        <v>80</v>
      </c>
      <c r="B97" s="361">
        <v>3393</v>
      </c>
      <c r="C97" s="632" t="s">
        <v>365</v>
      </c>
      <c r="D97" s="633" t="s">
        <v>361</v>
      </c>
      <c r="E97" s="348"/>
      <c r="F97" s="604"/>
      <c r="G97" s="604"/>
      <c r="H97" s="604"/>
      <c r="I97" s="348"/>
      <c r="J97" s="344"/>
      <c r="K97" s="351"/>
      <c r="L97" s="459"/>
      <c r="M97" s="732"/>
      <c r="N97" s="459"/>
      <c r="O97" s="459"/>
      <c r="P97" s="459"/>
      <c r="Q97" s="459">
        <f>AH97-AL97</f>
        <v>100000</v>
      </c>
      <c r="R97" s="459"/>
      <c r="S97" s="459"/>
      <c r="T97" s="459"/>
      <c r="U97" s="622"/>
      <c r="V97" s="349"/>
      <c r="W97" s="349"/>
      <c r="X97" s="349"/>
      <c r="Y97" s="349"/>
      <c r="Z97" s="370"/>
      <c r="AA97" s="349"/>
      <c r="AB97" s="350"/>
      <c r="AC97" s="371"/>
      <c r="AD97" s="371"/>
      <c r="AE97" s="371"/>
      <c r="AF97" s="371"/>
      <c r="AG97" s="371"/>
      <c r="AH97" s="371">
        <v>100000</v>
      </c>
      <c r="AI97" s="371"/>
      <c r="AJ97" s="371"/>
      <c r="AK97" s="413"/>
      <c r="AL97" s="411"/>
      <c r="AM97" s="373">
        <f t="shared" si="68"/>
        <v>100000</v>
      </c>
      <c r="AN97" s="793"/>
    </row>
    <row r="98" spans="1:40" s="362" customFormat="1" ht="21.75" thickBot="1" x14ac:dyDescent="0.4">
      <c r="A98" s="360" t="s">
        <v>80</v>
      </c>
      <c r="B98" s="361">
        <v>3394</v>
      </c>
      <c r="C98" s="632" t="s">
        <v>365</v>
      </c>
      <c r="D98" s="633" t="s">
        <v>361</v>
      </c>
      <c r="E98" s="348"/>
      <c r="F98" s="604"/>
      <c r="G98" s="604"/>
      <c r="H98" s="604"/>
      <c r="I98" s="348"/>
      <c r="J98" s="344"/>
      <c r="K98" s="351"/>
      <c r="L98" s="459">
        <f>AC98-AL98</f>
        <v>100000</v>
      </c>
      <c r="M98" s="732"/>
      <c r="N98" s="459"/>
      <c r="O98" s="459"/>
      <c r="P98" s="459"/>
      <c r="Q98" s="459"/>
      <c r="R98" s="459"/>
      <c r="S98" s="459"/>
      <c r="T98" s="459"/>
      <c r="U98" s="622"/>
      <c r="V98" s="349"/>
      <c r="W98" s="349"/>
      <c r="X98" s="349"/>
      <c r="Y98" s="349"/>
      <c r="Z98" s="370"/>
      <c r="AA98" s="349"/>
      <c r="AB98" s="350"/>
      <c r="AC98" s="371">
        <v>100000</v>
      </c>
      <c r="AD98" s="371"/>
      <c r="AE98" s="371"/>
      <c r="AF98" s="371"/>
      <c r="AG98" s="371"/>
      <c r="AH98" s="371"/>
      <c r="AI98" s="371"/>
      <c r="AJ98" s="371"/>
      <c r="AK98" s="413"/>
      <c r="AL98" s="411"/>
      <c r="AM98" s="373">
        <f t="shared" si="68"/>
        <v>100000</v>
      </c>
      <c r="AN98" s="793"/>
    </row>
    <row r="99" spans="1:40" s="362" customFormat="1" ht="21.75" thickBot="1" x14ac:dyDescent="0.4">
      <c r="A99" s="360" t="s">
        <v>80</v>
      </c>
      <c r="B99" s="361">
        <v>3425</v>
      </c>
      <c r="C99" s="632">
        <v>45996</v>
      </c>
      <c r="D99" s="633">
        <v>46203</v>
      </c>
      <c r="E99" s="348">
        <f>V99-AL99</f>
        <v>225000</v>
      </c>
      <c r="F99" s="604"/>
      <c r="G99" s="604"/>
      <c r="H99" s="604"/>
      <c r="I99" s="348"/>
      <c r="J99" s="344"/>
      <c r="K99" s="351"/>
      <c r="L99" s="459"/>
      <c r="M99" s="732"/>
      <c r="N99" s="459"/>
      <c r="O99" s="459"/>
      <c r="P99" s="459"/>
      <c r="Q99" s="459"/>
      <c r="R99" s="459"/>
      <c r="S99" s="459"/>
      <c r="T99" s="459"/>
      <c r="U99" s="622"/>
      <c r="V99" s="349">
        <v>225000</v>
      </c>
      <c r="W99" s="349"/>
      <c r="X99" s="349"/>
      <c r="Y99" s="349"/>
      <c r="Z99" s="370"/>
      <c r="AA99" s="349"/>
      <c r="AB99" s="349"/>
      <c r="AC99" s="371"/>
      <c r="AD99" s="371"/>
      <c r="AE99" s="371"/>
      <c r="AF99" s="371"/>
      <c r="AG99" s="371"/>
      <c r="AH99" s="371"/>
      <c r="AI99" s="371"/>
      <c r="AJ99" s="371"/>
      <c r="AK99" s="413"/>
      <c r="AL99" s="411"/>
      <c r="AM99" s="373">
        <f t="shared" si="68"/>
        <v>225000</v>
      </c>
      <c r="AN99" s="793"/>
    </row>
    <row r="100" spans="1:40" s="362" customFormat="1" ht="21.75" thickBot="1" x14ac:dyDescent="0.4">
      <c r="A100" s="360" t="s">
        <v>80</v>
      </c>
      <c r="B100" s="361">
        <v>3454</v>
      </c>
      <c r="C100" s="632">
        <v>46078</v>
      </c>
      <c r="D100" s="633">
        <v>46142</v>
      </c>
      <c r="E100" s="348"/>
      <c r="F100" s="604"/>
      <c r="G100" s="604"/>
      <c r="H100" s="604"/>
      <c r="I100" s="348"/>
      <c r="J100" s="344"/>
      <c r="K100" s="351">
        <f>AB100-AL100</f>
        <v>2000000</v>
      </c>
      <c r="L100" s="459"/>
      <c r="M100" s="732"/>
      <c r="N100" s="459"/>
      <c r="O100" s="459"/>
      <c r="P100" s="459"/>
      <c r="Q100" s="459"/>
      <c r="R100" s="459"/>
      <c r="S100" s="459"/>
      <c r="T100" s="459"/>
      <c r="U100" s="622"/>
      <c r="V100" s="349"/>
      <c r="W100" s="349"/>
      <c r="X100" s="349"/>
      <c r="Y100" s="349"/>
      <c r="Z100" s="370"/>
      <c r="AA100" s="349"/>
      <c r="AB100" s="350">
        <v>2000000</v>
      </c>
      <c r="AC100" s="371"/>
      <c r="AD100" s="371"/>
      <c r="AE100" s="371"/>
      <c r="AF100" s="371"/>
      <c r="AG100" s="371"/>
      <c r="AH100" s="371"/>
      <c r="AI100" s="371"/>
      <c r="AJ100" s="371"/>
      <c r="AK100" s="413"/>
      <c r="AL100" s="411"/>
      <c r="AM100" s="373">
        <f t="shared" ref="AM100" si="76">(V100+W100+X100+Y100+Z100+AB100+AC100+AD100+AE100+AF100+AG100+AH100+AI100+AJ100+AK100)-AL100</f>
        <v>2000000</v>
      </c>
      <c r="AN100" s="793"/>
    </row>
    <row r="101" spans="1:40" s="39" customFormat="1" ht="21.75" customHeight="1" thickBot="1" x14ac:dyDescent="0.4">
      <c r="A101" s="592" t="s">
        <v>80</v>
      </c>
      <c r="B101" s="591" t="s">
        <v>24</v>
      </c>
      <c r="C101" s="420"/>
      <c r="D101" s="421"/>
      <c r="E101" s="422">
        <f t="shared" ref="E101:AJ101" si="77">SUM(E81:E100)</f>
        <v>283825</v>
      </c>
      <c r="F101" s="422">
        <f>SUM(F81:F100)</f>
        <v>105180</v>
      </c>
      <c r="G101" s="422">
        <f t="shared" si="77"/>
        <v>90000</v>
      </c>
      <c r="H101" s="422">
        <f>SUM(H81:H100)</f>
        <v>82800</v>
      </c>
      <c r="I101" s="422">
        <f t="shared" si="77"/>
        <v>68520</v>
      </c>
      <c r="J101" s="423">
        <f t="shared" si="77"/>
        <v>346500</v>
      </c>
      <c r="K101" s="579">
        <f>SUM(K81:K100)</f>
        <v>2600000</v>
      </c>
      <c r="L101" s="422">
        <f t="shared" si="77"/>
        <v>100000</v>
      </c>
      <c r="M101" s="422">
        <f t="shared" si="77"/>
        <v>5000</v>
      </c>
      <c r="N101" s="422">
        <f t="shared" si="77"/>
        <v>5000</v>
      </c>
      <c r="O101" s="422">
        <f t="shared" si="77"/>
        <v>0</v>
      </c>
      <c r="P101" s="422">
        <f t="shared" si="77"/>
        <v>1500</v>
      </c>
      <c r="Q101" s="422">
        <f t="shared" si="77"/>
        <v>100000</v>
      </c>
      <c r="R101" s="422">
        <f t="shared" si="77"/>
        <v>0</v>
      </c>
      <c r="S101" s="422">
        <f t="shared" si="77"/>
        <v>0</v>
      </c>
      <c r="T101" s="422">
        <f t="shared" si="77"/>
        <v>0</v>
      </c>
      <c r="U101" s="622">
        <f t="shared" si="77"/>
        <v>0</v>
      </c>
      <c r="V101" s="422">
        <f t="shared" si="77"/>
        <v>587500</v>
      </c>
      <c r="W101" s="422">
        <f t="shared" si="77"/>
        <v>112380</v>
      </c>
      <c r="X101" s="422">
        <f t="shared" si="77"/>
        <v>90000</v>
      </c>
      <c r="Y101" s="422">
        <f t="shared" si="77"/>
        <v>90000</v>
      </c>
      <c r="Z101" s="422">
        <f t="shared" si="77"/>
        <v>142890</v>
      </c>
      <c r="AA101" s="423">
        <f t="shared" si="77"/>
        <v>435270</v>
      </c>
      <c r="AB101" s="803">
        <f t="shared" si="77"/>
        <v>2600000</v>
      </c>
      <c r="AC101" s="422">
        <f t="shared" si="77"/>
        <v>100000</v>
      </c>
      <c r="AD101" s="422">
        <f t="shared" si="77"/>
        <v>5000</v>
      </c>
      <c r="AE101" s="422">
        <f t="shared" si="77"/>
        <v>5000</v>
      </c>
      <c r="AF101" s="422">
        <f t="shared" si="77"/>
        <v>0</v>
      </c>
      <c r="AG101" s="422">
        <f t="shared" si="77"/>
        <v>1500</v>
      </c>
      <c r="AH101" s="422">
        <f t="shared" si="77"/>
        <v>100000</v>
      </c>
      <c r="AI101" s="422">
        <f t="shared" si="77"/>
        <v>0</v>
      </c>
      <c r="AJ101" s="422">
        <f t="shared" si="77"/>
        <v>0</v>
      </c>
      <c r="AK101" s="579">
        <f>SUM(AK81:AK100)</f>
        <v>0</v>
      </c>
      <c r="AL101" s="441"/>
      <c r="AM101" s="579">
        <f>SUM(AM81:AM100)</f>
        <v>3441825</v>
      </c>
      <c r="AN101" s="422"/>
    </row>
    <row r="102" spans="1:40" s="39" customFormat="1" ht="21.75" thickBot="1" x14ac:dyDescent="0.4">
      <c r="A102" s="596" t="s">
        <v>151</v>
      </c>
      <c r="B102" s="597"/>
      <c r="C102" s="597"/>
      <c r="D102" s="597"/>
      <c r="E102" s="404">
        <f>E101+E80+E62+E46+E26</f>
        <v>1313150</v>
      </c>
      <c r="F102" s="404">
        <f t="shared" ref="E102:T102" si="78">F101+F80+F62+F46+F26</f>
        <v>652980</v>
      </c>
      <c r="G102" s="404">
        <f t="shared" si="78"/>
        <v>486000</v>
      </c>
      <c r="H102" s="404">
        <f t="shared" si="78"/>
        <v>294960</v>
      </c>
      <c r="I102" s="404">
        <f t="shared" si="78"/>
        <v>303510</v>
      </c>
      <c r="J102" s="410">
        <f t="shared" si="78"/>
        <v>1737450</v>
      </c>
      <c r="K102" s="690">
        <f t="shared" si="78"/>
        <v>9500400</v>
      </c>
      <c r="L102" s="404">
        <f t="shared" si="78"/>
        <v>624400</v>
      </c>
      <c r="M102" s="404">
        <f t="shared" si="78"/>
        <v>27000</v>
      </c>
      <c r="N102" s="404">
        <f t="shared" si="78"/>
        <v>16000</v>
      </c>
      <c r="O102" s="404">
        <f t="shared" si="78"/>
        <v>0</v>
      </c>
      <c r="P102" s="404">
        <f t="shared" si="78"/>
        <v>10000</v>
      </c>
      <c r="Q102" s="404">
        <f t="shared" si="78"/>
        <v>500000</v>
      </c>
      <c r="R102" s="404">
        <f t="shared" si="78"/>
        <v>0</v>
      </c>
      <c r="S102" s="404">
        <f t="shared" si="78"/>
        <v>0</v>
      </c>
      <c r="T102" s="404">
        <f t="shared" si="78"/>
        <v>0</v>
      </c>
      <c r="U102" s="622"/>
      <c r="V102" s="404">
        <f t="shared" ref="V102:AK102" si="79">V101+V80+V62+V46+V26</f>
        <v>2025000</v>
      </c>
      <c r="W102" s="404">
        <f t="shared" si="79"/>
        <v>727380</v>
      </c>
      <c r="X102" s="404">
        <f t="shared" si="79"/>
        <v>555540</v>
      </c>
      <c r="Y102" s="404">
        <f t="shared" si="79"/>
        <v>406710</v>
      </c>
      <c r="Z102" s="404">
        <f t="shared" si="79"/>
        <v>465240</v>
      </c>
      <c r="AA102" s="410">
        <f t="shared" si="79"/>
        <v>1493700</v>
      </c>
      <c r="AB102" s="404">
        <f t="shared" si="79"/>
        <v>12300000</v>
      </c>
      <c r="AC102" s="404">
        <f t="shared" si="79"/>
        <v>700000</v>
      </c>
      <c r="AD102" s="404">
        <f t="shared" si="79"/>
        <v>55000</v>
      </c>
      <c r="AE102" s="404">
        <f t="shared" si="79"/>
        <v>21000</v>
      </c>
      <c r="AF102" s="404">
        <f t="shared" si="79"/>
        <v>0</v>
      </c>
      <c r="AG102" s="404">
        <f t="shared" si="79"/>
        <v>10000</v>
      </c>
      <c r="AH102" s="404">
        <f t="shared" si="79"/>
        <v>500000</v>
      </c>
      <c r="AI102" s="404">
        <f t="shared" si="79"/>
        <v>0</v>
      </c>
      <c r="AJ102" s="404">
        <f t="shared" si="79"/>
        <v>0</v>
      </c>
      <c r="AK102" s="406">
        <f t="shared" si="79"/>
        <v>0</v>
      </c>
      <c r="AL102" s="408"/>
      <c r="AM102" s="409"/>
      <c r="AN102" s="407"/>
    </row>
    <row r="103" spans="1:40" s="364" customFormat="1" ht="12" x14ac:dyDescent="0.2">
      <c r="A103" s="352"/>
      <c r="B103" s="353"/>
      <c r="C103" s="402"/>
      <c r="D103" s="402"/>
      <c r="E103" s="593"/>
      <c r="F103" s="606"/>
      <c r="G103" s="593"/>
      <c r="H103" s="593"/>
      <c r="I103" s="594"/>
      <c r="J103" s="595"/>
      <c r="K103" s="691"/>
      <c r="L103" s="357"/>
      <c r="M103" s="357"/>
      <c r="N103" s="357"/>
      <c r="O103" s="357"/>
      <c r="P103" s="357"/>
      <c r="Q103" s="357"/>
      <c r="R103" s="357"/>
      <c r="S103" s="357"/>
      <c r="T103" s="357"/>
      <c r="U103" s="342"/>
      <c r="V103" s="354"/>
      <c r="W103" s="30"/>
      <c r="X103" s="30"/>
      <c r="Y103" s="30"/>
      <c r="Z103" s="355"/>
      <c r="AA103" s="356"/>
      <c r="AB103" s="342"/>
      <c r="AC103" s="357"/>
      <c r="AD103" s="357"/>
      <c r="AE103" s="357"/>
      <c r="AF103" s="357"/>
      <c r="AG103" s="357"/>
      <c r="AH103" s="357"/>
      <c r="AI103" s="357"/>
      <c r="AJ103" s="357"/>
      <c r="AK103" s="357"/>
      <c r="AL103" s="30"/>
      <c r="AM103" s="342"/>
      <c r="AN103" s="30"/>
    </row>
    <row r="104" spans="1:40" s="362" customFormat="1" x14ac:dyDescent="0.25">
      <c r="A104" s="259"/>
      <c r="B104" s="241"/>
      <c r="C104" s="403"/>
      <c r="D104" s="403"/>
      <c r="E104" s="295"/>
      <c r="F104" s="607"/>
      <c r="G104"/>
      <c r="H104"/>
      <c r="I104" s="242"/>
      <c r="J104" s="292"/>
      <c r="K104" s="124"/>
      <c r="L104" s="296"/>
      <c r="M104" s="296"/>
      <c r="N104" s="296"/>
      <c r="O104" s="296"/>
      <c r="P104" s="296"/>
      <c r="Q104" s="296"/>
      <c r="R104" s="296"/>
      <c r="S104" s="296"/>
      <c r="T104" s="296"/>
      <c r="U104" s="124"/>
      <c r="V104" s="295"/>
      <c r="W104"/>
      <c r="X104"/>
      <c r="Y104"/>
      <c r="Z104" s="242"/>
      <c r="AA104" s="292"/>
      <c r="AB104" s="124"/>
      <c r="AC104" s="296"/>
      <c r="AD104" s="296"/>
      <c r="AE104" s="296"/>
      <c r="AF104" s="296"/>
      <c r="AG104" s="296"/>
      <c r="AH104" s="296"/>
      <c r="AI104" s="296"/>
      <c r="AJ104" s="296"/>
      <c r="AK104" s="296"/>
      <c r="AL104"/>
      <c r="AM104" s="124"/>
      <c r="AN104"/>
    </row>
    <row r="105" spans="1:40" s="365" customFormat="1" x14ac:dyDescent="0.25">
      <c r="A105" s="259"/>
      <c r="B105" s="241"/>
      <c r="C105" s="403"/>
      <c r="D105" s="403"/>
      <c r="E105" s="295"/>
      <c r="F105" s="607"/>
      <c r="G105"/>
      <c r="H105"/>
      <c r="I105" s="242"/>
      <c r="J105" s="292"/>
      <c r="K105" s="124"/>
      <c r="L105" s="296"/>
      <c r="M105" s="296"/>
      <c r="N105" s="296"/>
      <c r="O105" s="296"/>
      <c r="P105" s="296"/>
      <c r="Q105" s="296"/>
      <c r="R105" s="296"/>
      <c r="S105" s="296"/>
      <c r="T105" s="296"/>
      <c r="U105" s="124"/>
      <c r="V105" s="295"/>
      <c r="W105"/>
      <c r="X105"/>
      <c r="Y105"/>
      <c r="Z105" s="242"/>
      <c r="AA105" s="292"/>
      <c r="AB105" s="124"/>
      <c r="AC105" s="296"/>
      <c r="AD105" s="296"/>
      <c r="AE105" s="296"/>
      <c r="AF105" s="296"/>
      <c r="AG105" s="296"/>
      <c r="AH105" s="296"/>
      <c r="AI105" s="296"/>
      <c r="AJ105" s="296"/>
      <c r="AK105" s="296"/>
      <c r="AL105"/>
      <c r="AM105" s="124"/>
      <c r="AN105"/>
    </row>
    <row r="106" spans="1:40" s="362" customFormat="1" x14ac:dyDescent="0.25">
      <c r="A106" s="259"/>
      <c r="B106" s="241"/>
      <c r="C106" s="403"/>
      <c r="D106" s="403"/>
      <c r="E106" s="295"/>
      <c r="F106" s="607"/>
      <c r="G106"/>
      <c r="H106"/>
      <c r="I106" s="242"/>
      <c r="J106" s="292"/>
      <c r="K106" s="124"/>
      <c r="L106" s="296"/>
      <c r="M106" s="296"/>
      <c r="N106" s="296"/>
      <c r="O106" s="296"/>
      <c r="P106" s="296"/>
      <c r="Q106" s="296"/>
      <c r="R106" s="296"/>
      <c r="S106" s="296"/>
      <c r="T106" s="296"/>
      <c r="U106" s="124"/>
      <c r="V106" s="295"/>
      <c r="W106"/>
      <c r="X106"/>
      <c r="Y106"/>
      <c r="Z106" s="242"/>
      <c r="AA106" s="292"/>
      <c r="AB106" s="124"/>
      <c r="AC106" s="296"/>
      <c r="AD106" s="296"/>
      <c r="AE106" s="296"/>
      <c r="AF106" s="296"/>
      <c r="AG106" s="296"/>
      <c r="AH106" s="296"/>
      <c r="AI106" s="296"/>
      <c r="AJ106" s="296"/>
      <c r="AK106" s="296"/>
      <c r="AL106"/>
      <c r="AM106" s="124"/>
      <c r="AN106"/>
    </row>
    <row r="107" spans="1:40" s="362" customFormat="1" x14ac:dyDescent="0.25">
      <c r="A107" s="259"/>
      <c r="B107" s="241"/>
      <c r="C107" s="403"/>
      <c r="D107" s="403"/>
      <c r="E107" s="295"/>
      <c r="F107" s="607"/>
      <c r="G107"/>
      <c r="H107"/>
      <c r="I107" s="242"/>
      <c r="J107" s="292"/>
      <c r="K107" s="124"/>
      <c r="L107" s="296"/>
      <c r="M107" s="296"/>
      <c r="N107" s="296"/>
      <c r="O107" s="296"/>
      <c r="P107" s="296"/>
      <c r="Q107" s="296"/>
      <c r="R107" s="296"/>
      <c r="S107" s="296"/>
      <c r="T107" s="296"/>
      <c r="U107" s="124"/>
      <c r="V107" s="295"/>
      <c r="W107"/>
      <c r="X107"/>
      <c r="Y107"/>
      <c r="Z107" s="242"/>
      <c r="AA107" s="292"/>
      <c r="AB107" s="124"/>
      <c r="AC107" s="296"/>
      <c r="AD107" s="296"/>
      <c r="AE107" s="296"/>
      <c r="AF107" s="296"/>
      <c r="AG107" s="296"/>
      <c r="AH107" s="296"/>
      <c r="AI107" s="296"/>
      <c r="AJ107" s="296"/>
      <c r="AK107" s="296"/>
      <c r="AL107"/>
      <c r="AM107" s="124"/>
      <c r="AN107"/>
    </row>
    <row r="108" spans="1:40" s="362" customFormat="1" x14ac:dyDescent="0.25">
      <c r="A108" s="259"/>
      <c r="B108" s="241"/>
      <c r="C108" s="403"/>
      <c r="D108" s="403"/>
      <c r="E108" s="295"/>
      <c r="F108" s="607"/>
      <c r="G108"/>
      <c r="H108"/>
      <c r="I108" s="242"/>
      <c r="J108" s="292"/>
      <c r="K108" s="124"/>
      <c r="L108" s="296"/>
      <c r="M108" s="296"/>
      <c r="N108" s="296"/>
      <c r="O108" s="296"/>
      <c r="P108" s="296"/>
      <c r="Q108" s="296"/>
      <c r="R108" s="296"/>
      <c r="S108" s="296"/>
      <c r="T108" s="296"/>
      <c r="U108" s="124"/>
      <c r="V108" s="295"/>
      <c r="W108"/>
      <c r="X108"/>
      <c r="Y108"/>
      <c r="Z108" s="242"/>
      <c r="AA108" s="292"/>
      <c r="AB108" s="124"/>
      <c r="AC108" s="296"/>
      <c r="AD108" s="296"/>
      <c r="AE108" s="296"/>
      <c r="AF108" s="296"/>
      <c r="AG108" s="296"/>
      <c r="AH108" s="296"/>
      <c r="AI108" s="296"/>
      <c r="AJ108" s="296"/>
      <c r="AK108" s="296"/>
      <c r="AL108"/>
      <c r="AM108" s="124"/>
      <c r="AN108"/>
    </row>
    <row r="109" spans="1:40" s="364" customFormat="1" x14ac:dyDescent="0.25">
      <c r="A109" s="259"/>
      <c r="B109" s="241"/>
      <c r="C109" s="403"/>
      <c r="D109" s="403"/>
      <c r="E109" s="295"/>
      <c r="F109" s="607"/>
      <c r="G109"/>
      <c r="H109"/>
      <c r="I109" s="242"/>
      <c r="J109" s="292"/>
      <c r="K109" s="124"/>
      <c r="L109" s="296"/>
      <c r="M109" s="296"/>
      <c r="N109" s="296"/>
      <c r="O109" s="296"/>
      <c r="P109" s="296"/>
      <c r="Q109" s="296"/>
      <c r="R109" s="296"/>
      <c r="S109" s="296"/>
      <c r="T109" s="296"/>
      <c r="U109" s="124"/>
      <c r="V109" s="295"/>
      <c r="W109"/>
      <c r="X109"/>
      <c r="Y109"/>
      <c r="Z109" s="242"/>
      <c r="AA109" s="292"/>
      <c r="AB109" s="124"/>
      <c r="AC109" s="296"/>
      <c r="AD109" s="296"/>
      <c r="AE109" s="296"/>
      <c r="AF109" s="296"/>
      <c r="AG109" s="296"/>
      <c r="AH109" s="296"/>
      <c r="AI109" s="296"/>
      <c r="AJ109" s="296"/>
      <c r="AK109" s="296"/>
      <c r="AL109"/>
      <c r="AM109" s="124"/>
      <c r="AN109"/>
    </row>
    <row r="110" spans="1:40" s="362" customFormat="1" x14ac:dyDescent="0.25">
      <c r="A110" s="259"/>
      <c r="B110" s="241"/>
      <c r="C110" s="403"/>
      <c r="D110" s="403"/>
      <c r="E110" s="295"/>
      <c r="F110" s="607"/>
      <c r="G110"/>
      <c r="H110"/>
      <c r="I110" s="242"/>
      <c r="J110" s="292"/>
      <c r="K110" s="124"/>
      <c r="L110" s="296"/>
      <c r="M110" s="296"/>
      <c r="N110" s="296"/>
      <c r="O110" s="296"/>
      <c r="P110" s="296"/>
      <c r="Q110" s="296"/>
      <c r="R110" s="296"/>
      <c r="S110" s="296"/>
      <c r="T110" s="296"/>
      <c r="U110" s="124"/>
      <c r="V110" s="295"/>
      <c r="W110"/>
      <c r="X110"/>
      <c r="Y110"/>
      <c r="Z110" s="242"/>
      <c r="AA110" s="292"/>
      <c r="AB110" s="124"/>
      <c r="AC110" s="296"/>
      <c r="AD110" s="296"/>
      <c r="AE110" s="296"/>
      <c r="AF110" s="296"/>
      <c r="AG110" s="296"/>
      <c r="AH110" s="296"/>
      <c r="AI110" s="296"/>
      <c r="AJ110" s="296"/>
      <c r="AK110" s="296"/>
      <c r="AL110"/>
      <c r="AM110" s="124"/>
      <c r="AN110"/>
    </row>
    <row r="111" spans="1:40" s="362" customFormat="1" x14ac:dyDescent="0.25">
      <c r="A111" s="259"/>
      <c r="B111" s="241"/>
      <c r="C111" s="403"/>
      <c r="D111" s="403"/>
      <c r="E111" s="295"/>
      <c r="F111" s="607"/>
      <c r="G111"/>
      <c r="H111"/>
      <c r="I111" s="242"/>
      <c r="J111" s="292"/>
      <c r="K111" s="124"/>
      <c r="L111" s="296"/>
      <c r="M111" s="296"/>
      <c r="N111" s="296"/>
      <c r="O111" s="296"/>
      <c r="P111" s="296"/>
      <c r="Q111" s="296"/>
      <c r="R111" s="296"/>
      <c r="S111" s="296"/>
      <c r="T111" s="296"/>
      <c r="U111" s="124"/>
      <c r="V111" s="295"/>
      <c r="W111"/>
      <c r="X111"/>
      <c r="Y111"/>
      <c r="Z111" s="242"/>
      <c r="AA111" s="292"/>
      <c r="AB111" s="124"/>
      <c r="AC111" s="296"/>
      <c r="AD111" s="296"/>
      <c r="AE111" s="296"/>
      <c r="AF111" s="296"/>
      <c r="AG111" s="296"/>
      <c r="AH111" s="296"/>
      <c r="AI111" s="296"/>
      <c r="AJ111" s="296"/>
      <c r="AK111" s="296"/>
      <c r="AL111"/>
      <c r="AM111" s="124"/>
      <c r="AN111"/>
    </row>
    <row r="112" spans="1:40" s="362" customFormat="1" x14ac:dyDescent="0.25">
      <c r="A112" s="259"/>
      <c r="B112" s="241"/>
      <c r="C112" s="403"/>
      <c r="D112" s="403"/>
      <c r="E112" s="295"/>
      <c r="F112" s="607"/>
      <c r="G112"/>
      <c r="H112"/>
      <c r="I112" s="242"/>
      <c r="J112" s="292"/>
      <c r="K112" s="124"/>
      <c r="L112" s="296"/>
      <c r="M112" s="296"/>
      <c r="N112" s="296"/>
      <c r="O112" s="296"/>
      <c r="P112" s="296"/>
      <c r="Q112" s="296"/>
      <c r="R112" s="296"/>
      <c r="S112" s="296"/>
      <c r="T112" s="296"/>
      <c r="U112" s="124"/>
      <c r="V112" s="295"/>
      <c r="W112"/>
      <c r="X112"/>
      <c r="Y112"/>
      <c r="Z112" s="242"/>
      <c r="AA112" s="292"/>
      <c r="AB112" s="124"/>
      <c r="AC112" s="296"/>
      <c r="AD112" s="296"/>
      <c r="AE112" s="296"/>
      <c r="AF112" s="296"/>
      <c r="AG112" s="296"/>
      <c r="AH112" s="296"/>
      <c r="AI112" s="296"/>
      <c r="AJ112" s="296"/>
      <c r="AK112" s="296"/>
      <c r="AL112"/>
      <c r="AM112" s="124"/>
      <c r="AN112"/>
    </row>
    <row r="113" spans="1:41" s="362" customFormat="1" x14ac:dyDescent="0.25">
      <c r="A113" s="259"/>
      <c r="B113" s="241"/>
      <c r="C113" s="403"/>
      <c r="D113" s="403"/>
      <c r="E113" s="295"/>
      <c r="F113" s="607"/>
      <c r="G113"/>
      <c r="H113"/>
      <c r="I113" s="242"/>
      <c r="J113" s="292"/>
      <c r="K113" s="124"/>
      <c r="L113" s="296"/>
      <c r="M113" s="296"/>
      <c r="N113" s="296"/>
      <c r="O113" s="296"/>
      <c r="P113" s="296"/>
      <c r="Q113" s="296"/>
      <c r="R113" s="296"/>
      <c r="S113" s="296"/>
      <c r="T113" s="296"/>
      <c r="U113" s="124"/>
      <c r="V113" s="295"/>
      <c r="W113"/>
      <c r="X113"/>
      <c r="Y113"/>
      <c r="Z113" s="242"/>
      <c r="AA113" s="292"/>
      <c r="AB113" s="124"/>
      <c r="AC113" s="296"/>
      <c r="AD113" s="296"/>
      <c r="AE113" s="296"/>
      <c r="AF113" s="296"/>
      <c r="AG113" s="296"/>
      <c r="AH113" s="296"/>
      <c r="AI113" s="296"/>
      <c r="AJ113" s="296"/>
      <c r="AK113" s="296"/>
      <c r="AL113"/>
      <c r="AM113" s="124"/>
      <c r="AN113"/>
    </row>
    <row r="114" spans="1:41" s="362" customFormat="1" x14ac:dyDescent="0.25">
      <c r="A114" s="259"/>
      <c r="B114" s="241"/>
      <c r="C114" s="403"/>
      <c r="D114" s="403"/>
      <c r="E114" s="295"/>
      <c r="F114" s="607"/>
      <c r="G114"/>
      <c r="H114"/>
      <c r="I114" s="242"/>
      <c r="J114" s="292"/>
      <c r="K114" s="124"/>
      <c r="L114" s="296"/>
      <c r="M114" s="296"/>
      <c r="N114" s="296"/>
      <c r="O114" s="296"/>
      <c r="P114" s="296"/>
      <c r="Q114" s="296"/>
      <c r="R114" s="296"/>
      <c r="S114" s="296"/>
      <c r="T114" s="296"/>
      <c r="U114" s="124"/>
      <c r="V114" s="295"/>
      <c r="W114"/>
      <c r="X114"/>
      <c r="Y114"/>
      <c r="Z114" s="242"/>
      <c r="AA114" s="292"/>
      <c r="AB114" s="124"/>
      <c r="AC114" s="296"/>
      <c r="AD114" s="296"/>
      <c r="AE114" s="296"/>
      <c r="AF114" s="296"/>
      <c r="AG114" s="296"/>
      <c r="AH114" s="296"/>
      <c r="AI114" s="296"/>
      <c r="AJ114" s="296"/>
      <c r="AK114" s="296"/>
      <c r="AL114"/>
      <c r="AM114" s="124"/>
      <c r="AN114"/>
    </row>
    <row r="115" spans="1:41" s="427" customFormat="1" x14ac:dyDescent="0.25">
      <c r="A115" s="259"/>
      <c r="B115" s="241"/>
      <c r="C115" s="403"/>
      <c r="D115" s="403"/>
      <c r="E115" s="295"/>
      <c r="F115" s="607"/>
      <c r="G115"/>
      <c r="H115"/>
      <c r="I115" s="242"/>
      <c r="J115" s="292"/>
      <c r="K115" s="124"/>
      <c r="L115" s="296"/>
      <c r="M115" s="296"/>
      <c r="N115" s="296"/>
      <c r="O115" s="296"/>
      <c r="P115" s="296"/>
      <c r="Q115" s="296"/>
      <c r="R115" s="296"/>
      <c r="S115" s="296"/>
      <c r="T115" s="296"/>
      <c r="U115" s="124"/>
      <c r="V115" s="295"/>
      <c r="W115"/>
      <c r="X115"/>
      <c r="Y115"/>
      <c r="Z115" s="242"/>
      <c r="AA115" s="292"/>
      <c r="AB115" s="124"/>
      <c r="AC115" s="296"/>
      <c r="AD115" s="296"/>
      <c r="AE115" s="296"/>
      <c r="AF115" s="296"/>
      <c r="AG115" s="296"/>
      <c r="AH115" s="296"/>
      <c r="AI115" s="296"/>
      <c r="AJ115" s="296"/>
      <c r="AK115" s="296"/>
      <c r="AL115"/>
      <c r="AM115" s="124"/>
      <c r="AN115"/>
    </row>
    <row r="116" spans="1:41" s="362" customFormat="1" x14ac:dyDescent="0.25">
      <c r="A116" s="259"/>
      <c r="B116" s="241"/>
      <c r="C116" s="403"/>
      <c r="D116" s="403"/>
      <c r="E116" s="295"/>
      <c r="F116" s="607"/>
      <c r="G116"/>
      <c r="H116"/>
      <c r="I116" s="242"/>
      <c r="J116" s="292"/>
      <c r="K116" s="124"/>
      <c r="L116" s="296"/>
      <c r="M116" s="296"/>
      <c r="N116" s="296"/>
      <c r="O116" s="296"/>
      <c r="P116" s="296"/>
      <c r="Q116" s="296"/>
      <c r="R116" s="296"/>
      <c r="S116" s="296"/>
      <c r="T116" s="296"/>
      <c r="U116" s="124"/>
      <c r="V116" s="295"/>
      <c r="W116"/>
      <c r="X116"/>
      <c r="Y116"/>
      <c r="Z116" s="242"/>
      <c r="AA116" s="292"/>
      <c r="AB116" s="124"/>
      <c r="AC116" s="296"/>
      <c r="AD116" s="296"/>
      <c r="AE116" s="296"/>
      <c r="AF116" s="296"/>
      <c r="AG116" s="296"/>
      <c r="AH116" s="296"/>
      <c r="AI116" s="296"/>
      <c r="AJ116" s="296"/>
      <c r="AK116" s="296"/>
      <c r="AL116"/>
      <c r="AM116" s="124"/>
      <c r="AN116"/>
    </row>
    <row r="117" spans="1:41" s="362" customFormat="1" x14ac:dyDescent="0.25">
      <c r="A117" s="259"/>
      <c r="B117" s="241"/>
      <c r="C117" s="403"/>
      <c r="D117" s="403"/>
      <c r="E117" s="295"/>
      <c r="F117" s="607"/>
      <c r="G117"/>
      <c r="H117"/>
      <c r="I117" s="242"/>
      <c r="J117" s="292"/>
      <c r="K117" s="124"/>
      <c r="L117" s="296"/>
      <c r="M117" s="296"/>
      <c r="N117" s="296"/>
      <c r="O117" s="296"/>
      <c r="P117" s="296"/>
      <c r="Q117" s="296"/>
      <c r="R117" s="296"/>
      <c r="S117" s="296"/>
      <c r="T117" s="296"/>
      <c r="U117" s="124"/>
      <c r="V117" s="295"/>
      <c r="W117"/>
      <c r="X117"/>
      <c r="Y117"/>
      <c r="Z117" s="242"/>
      <c r="AA117" s="292"/>
      <c r="AB117" s="124"/>
      <c r="AC117" s="296"/>
      <c r="AD117" s="296"/>
      <c r="AE117" s="296"/>
      <c r="AF117" s="296"/>
      <c r="AG117" s="296"/>
      <c r="AH117" s="296"/>
      <c r="AI117" s="296"/>
      <c r="AJ117" s="296"/>
      <c r="AK117" s="296"/>
      <c r="AL117"/>
      <c r="AM117" s="124"/>
      <c r="AN117"/>
    </row>
    <row r="118" spans="1:41" s="362" customFormat="1" x14ac:dyDescent="0.25">
      <c r="A118" s="259"/>
      <c r="B118" s="241"/>
      <c r="C118" s="403"/>
      <c r="D118" s="403"/>
      <c r="E118" s="295"/>
      <c r="F118" s="607"/>
      <c r="G118"/>
      <c r="H118"/>
      <c r="I118" s="242"/>
      <c r="J118" s="292"/>
      <c r="K118" s="124"/>
      <c r="L118" s="296"/>
      <c r="M118" s="296"/>
      <c r="N118" s="296"/>
      <c r="O118" s="296"/>
      <c r="P118" s="296"/>
      <c r="Q118" s="296"/>
      <c r="R118" s="296"/>
      <c r="S118" s="296"/>
      <c r="T118" s="296"/>
      <c r="U118" s="124"/>
      <c r="V118" s="295"/>
      <c r="W118"/>
      <c r="X118"/>
      <c r="Y118"/>
      <c r="Z118" s="242"/>
      <c r="AA118" s="292"/>
      <c r="AB118" s="124"/>
      <c r="AC118" s="296"/>
      <c r="AD118" s="296"/>
      <c r="AE118" s="296"/>
      <c r="AF118" s="296"/>
      <c r="AG118" s="296"/>
      <c r="AH118" s="296"/>
      <c r="AI118" s="296"/>
      <c r="AJ118" s="296"/>
      <c r="AK118" s="296"/>
      <c r="AL118"/>
      <c r="AM118" s="124"/>
      <c r="AN118"/>
    </row>
    <row r="119" spans="1:41" s="362" customFormat="1" x14ac:dyDescent="0.25">
      <c r="A119" s="259"/>
      <c r="B119" s="241"/>
      <c r="C119" s="403"/>
      <c r="D119" s="403"/>
      <c r="E119" s="295"/>
      <c r="F119" s="607"/>
      <c r="G119"/>
      <c r="H119"/>
      <c r="I119" s="242"/>
      <c r="J119" s="292"/>
      <c r="K119" s="124"/>
      <c r="L119" s="296"/>
      <c r="M119" s="296"/>
      <c r="N119" s="296"/>
      <c r="O119" s="296"/>
      <c r="P119" s="296"/>
      <c r="Q119" s="296"/>
      <c r="R119" s="296"/>
      <c r="S119" s="296"/>
      <c r="T119" s="296"/>
      <c r="U119" s="124"/>
      <c r="V119" s="295"/>
      <c r="W119"/>
      <c r="X119"/>
      <c r="Y119"/>
      <c r="Z119" s="242"/>
      <c r="AA119" s="292"/>
      <c r="AB119" s="124"/>
      <c r="AC119" s="296"/>
      <c r="AD119" s="296"/>
      <c r="AE119" s="296"/>
      <c r="AF119" s="296"/>
      <c r="AG119" s="296"/>
      <c r="AH119" s="296"/>
      <c r="AI119" s="296"/>
      <c r="AJ119" s="296"/>
      <c r="AK119" s="296"/>
      <c r="AL119"/>
      <c r="AM119" s="124"/>
      <c r="AN119"/>
    </row>
    <row r="120" spans="1:41" s="364" customFormat="1" x14ac:dyDescent="0.25">
      <c r="A120" s="259"/>
      <c r="B120" s="241"/>
      <c r="C120" s="403"/>
      <c r="D120" s="403"/>
      <c r="E120" s="295"/>
      <c r="F120" s="607"/>
      <c r="G120"/>
      <c r="H120"/>
      <c r="I120" s="242"/>
      <c r="J120" s="292"/>
      <c r="K120" s="124"/>
      <c r="L120" s="296"/>
      <c r="M120" s="296"/>
      <c r="N120" s="296"/>
      <c r="O120" s="296"/>
      <c r="P120" s="296"/>
      <c r="Q120" s="296"/>
      <c r="R120" s="296"/>
      <c r="S120" s="296"/>
      <c r="T120" s="296"/>
      <c r="U120" s="124"/>
      <c r="V120" s="295"/>
      <c r="W120"/>
      <c r="X120"/>
      <c r="Y120"/>
      <c r="Z120" s="242"/>
      <c r="AA120" s="292"/>
      <c r="AB120" s="124"/>
      <c r="AC120" s="296"/>
      <c r="AD120" s="296"/>
      <c r="AE120" s="296"/>
      <c r="AF120" s="296"/>
      <c r="AG120" s="296"/>
      <c r="AH120" s="296"/>
      <c r="AI120" s="296"/>
      <c r="AJ120" s="296"/>
      <c r="AK120" s="296"/>
      <c r="AL120"/>
      <c r="AM120" s="124"/>
      <c r="AN120"/>
    </row>
    <row r="121" spans="1:41" s="364" customFormat="1" x14ac:dyDescent="0.25">
      <c r="A121" s="259"/>
      <c r="B121" s="241"/>
      <c r="C121" s="403"/>
      <c r="D121" s="403"/>
      <c r="E121" s="295"/>
      <c r="F121" s="607"/>
      <c r="G121"/>
      <c r="H121"/>
      <c r="I121" s="242"/>
      <c r="J121" s="292"/>
      <c r="K121" s="124"/>
      <c r="L121" s="296"/>
      <c r="M121" s="296"/>
      <c r="N121" s="296"/>
      <c r="O121" s="296"/>
      <c r="P121" s="296"/>
      <c r="Q121" s="296"/>
      <c r="R121" s="296"/>
      <c r="S121" s="296"/>
      <c r="T121" s="296"/>
      <c r="U121" s="124"/>
      <c r="V121" s="295"/>
      <c r="W121"/>
      <c r="X121"/>
      <c r="Y121"/>
      <c r="Z121" s="242"/>
      <c r="AA121" s="292"/>
      <c r="AB121" s="124"/>
      <c r="AC121" s="296"/>
      <c r="AD121" s="296"/>
      <c r="AE121" s="296"/>
      <c r="AF121" s="296"/>
      <c r="AG121" s="296"/>
      <c r="AH121" s="296"/>
      <c r="AI121" s="296"/>
      <c r="AJ121" s="296"/>
      <c r="AK121" s="296"/>
      <c r="AL121"/>
      <c r="AM121" s="124"/>
      <c r="AN121"/>
    </row>
    <row r="122" spans="1:41" s="364" customFormat="1" x14ac:dyDescent="0.25">
      <c r="A122" s="259"/>
      <c r="B122" s="241"/>
      <c r="C122" s="403"/>
      <c r="D122" s="403"/>
      <c r="E122" s="295"/>
      <c r="F122" s="607"/>
      <c r="G122"/>
      <c r="H122"/>
      <c r="I122" s="242"/>
      <c r="J122" s="292"/>
      <c r="K122" s="124"/>
      <c r="L122" s="296"/>
      <c r="M122" s="296"/>
      <c r="N122" s="296"/>
      <c r="O122" s="296"/>
      <c r="P122" s="296"/>
      <c r="Q122" s="296"/>
      <c r="R122" s="296"/>
      <c r="S122" s="296"/>
      <c r="T122" s="296"/>
      <c r="U122" s="124"/>
      <c r="V122" s="295"/>
      <c r="W122"/>
      <c r="X122"/>
      <c r="Y122"/>
      <c r="Z122" s="242"/>
      <c r="AA122" s="292"/>
      <c r="AB122" s="124"/>
      <c r="AC122" s="296"/>
      <c r="AD122" s="296"/>
      <c r="AE122" s="296"/>
      <c r="AF122" s="296"/>
      <c r="AG122" s="296"/>
      <c r="AH122" s="296"/>
      <c r="AI122" s="296"/>
      <c r="AJ122" s="296"/>
      <c r="AK122" s="296"/>
      <c r="AL122"/>
      <c r="AM122" s="124"/>
      <c r="AN122"/>
    </row>
    <row r="123" spans="1:41" s="364" customFormat="1" x14ac:dyDescent="0.25">
      <c r="A123" s="259"/>
      <c r="B123" s="241"/>
      <c r="C123" s="403"/>
      <c r="D123" s="403"/>
      <c r="E123" s="295"/>
      <c r="F123" s="607"/>
      <c r="G123"/>
      <c r="H123"/>
      <c r="I123" s="242"/>
      <c r="J123" s="292"/>
      <c r="K123" s="124"/>
      <c r="L123" s="296"/>
      <c r="M123" s="296"/>
      <c r="N123" s="296"/>
      <c r="O123" s="296"/>
      <c r="P123" s="296"/>
      <c r="Q123" s="296"/>
      <c r="R123" s="296"/>
      <c r="S123" s="296"/>
      <c r="T123" s="296"/>
      <c r="U123" s="124"/>
      <c r="V123" s="295"/>
      <c r="W123"/>
      <c r="X123"/>
      <c r="Y123"/>
      <c r="Z123" s="242"/>
      <c r="AA123" s="292"/>
      <c r="AB123" s="124"/>
      <c r="AC123" s="296"/>
      <c r="AD123" s="296"/>
      <c r="AE123" s="296"/>
      <c r="AF123" s="296"/>
      <c r="AG123" s="296"/>
      <c r="AH123" s="296"/>
      <c r="AI123" s="296"/>
      <c r="AJ123" s="296"/>
      <c r="AK123" s="296"/>
      <c r="AL123"/>
      <c r="AM123" s="124"/>
      <c r="AN123"/>
    </row>
    <row r="124" spans="1:41" s="364" customFormat="1" x14ac:dyDescent="0.25">
      <c r="A124" s="259"/>
      <c r="B124" s="241"/>
      <c r="C124" s="403"/>
      <c r="D124" s="403"/>
      <c r="E124" s="295"/>
      <c r="F124" s="607"/>
      <c r="G124"/>
      <c r="H124"/>
      <c r="I124" s="242"/>
      <c r="J124" s="292"/>
      <c r="K124" s="124"/>
      <c r="L124" s="296"/>
      <c r="M124" s="296"/>
      <c r="N124" s="296"/>
      <c r="O124" s="296"/>
      <c r="P124" s="296"/>
      <c r="Q124" s="296"/>
      <c r="R124" s="296"/>
      <c r="S124" s="296"/>
      <c r="T124" s="296"/>
      <c r="U124" s="124"/>
      <c r="V124" s="295"/>
      <c r="W124"/>
      <c r="X124"/>
      <c r="Y124"/>
      <c r="Z124" s="242"/>
      <c r="AA124" s="292"/>
      <c r="AB124" s="124"/>
      <c r="AC124" s="296"/>
      <c r="AD124" s="296"/>
      <c r="AE124" s="296"/>
      <c r="AF124" s="296"/>
      <c r="AG124" s="296"/>
      <c r="AH124" s="296"/>
      <c r="AI124" s="296"/>
      <c r="AJ124" s="296"/>
      <c r="AK124" s="296"/>
      <c r="AL124"/>
      <c r="AM124" s="124"/>
      <c r="AN124"/>
      <c r="AO124" s="493" t="s">
        <v>169</v>
      </c>
    </row>
    <row r="125" spans="1:41" s="364" customFormat="1" x14ac:dyDescent="0.25">
      <c r="A125" s="259"/>
      <c r="B125" s="241"/>
      <c r="C125" s="403"/>
      <c r="D125" s="403"/>
      <c r="E125" s="295"/>
      <c r="F125" s="607"/>
      <c r="G125"/>
      <c r="H125"/>
      <c r="I125" s="242"/>
      <c r="J125" s="292"/>
      <c r="K125" s="124"/>
      <c r="L125" s="296"/>
      <c r="M125" s="296"/>
      <c r="N125" s="296"/>
      <c r="O125" s="296"/>
      <c r="P125" s="296"/>
      <c r="Q125" s="296"/>
      <c r="R125" s="296"/>
      <c r="S125" s="296"/>
      <c r="T125" s="296"/>
      <c r="U125" s="124"/>
      <c r="V125" s="295"/>
      <c r="W125"/>
      <c r="X125"/>
      <c r="Y125"/>
      <c r="Z125" s="242"/>
      <c r="AA125" s="292"/>
      <c r="AB125" s="124"/>
      <c r="AC125" s="296"/>
      <c r="AD125" s="296"/>
      <c r="AE125" s="296"/>
      <c r="AF125" s="296"/>
      <c r="AG125" s="296"/>
      <c r="AH125" s="296"/>
      <c r="AI125" s="296"/>
      <c r="AJ125" s="296"/>
      <c r="AK125" s="296"/>
      <c r="AL125"/>
      <c r="AM125" s="124"/>
      <c r="AN125"/>
      <c r="AO125" s="493" t="s">
        <v>169</v>
      </c>
    </row>
    <row r="126" spans="1:41" s="123" customFormat="1" x14ac:dyDescent="0.25">
      <c r="A126" s="259"/>
      <c r="B126" s="241"/>
      <c r="C126" s="403"/>
      <c r="D126" s="403"/>
      <c r="E126" s="295"/>
      <c r="F126" s="607"/>
      <c r="G126"/>
      <c r="H126"/>
      <c r="I126" s="242"/>
      <c r="J126" s="292"/>
      <c r="K126" s="124"/>
      <c r="L126" s="296"/>
      <c r="M126" s="296"/>
      <c r="N126" s="296"/>
      <c r="O126" s="296"/>
      <c r="P126" s="296"/>
      <c r="Q126" s="296"/>
      <c r="R126" s="296"/>
      <c r="S126" s="296"/>
      <c r="T126" s="296"/>
      <c r="U126" s="124"/>
      <c r="V126" s="295"/>
      <c r="W126"/>
      <c r="X126"/>
      <c r="Y126"/>
      <c r="Z126" s="242"/>
      <c r="AA126" s="292"/>
      <c r="AB126" s="124"/>
      <c r="AC126" s="296"/>
      <c r="AD126" s="296"/>
      <c r="AE126" s="296"/>
      <c r="AF126" s="296"/>
      <c r="AG126" s="296"/>
      <c r="AH126" s="296"/>
      <c r="AI126" s="296"/>
      <c r="AJ126" s="296"/>
      <c r="AK126" s="296"/>
      <c r="AL126"/>
      <c r="AM126" s="124"/>
      <c r="AN126"/>
    </row>
    <row r="127" spans="1:41" s="39" customFormat="1" x14ac:dyDescent="0.25">
      <c r="A127" s="259"/>
      <c r="B127" s="241"/>
      <c r="C127" s="403"/>
      <c r="D127" s="403"/>
      <c r="E127" s="295"/>
      <c r="F127" s="607"/>
      <c r="G127"/>
      <c r="H127"/>
      <c r="I127" s="242"/>
      <c r="J127" s="292"/>
      <c r="K127" s="124"/>
      <c r="L127" s="296"/>
      <c r="M127" s="296"/>
      <c r="N127" s="296"/>
      <c r="O127" s="296"/>
      <c r="P127" s="296"/>
      <c r="Q127" s="296"/>
      <c r="R127" s="296"/>
      <c r="S127" s="296"/>
      <c r="T127" s="296"/>
      <c r="U127" s="124"/>
      <c r="V127" s="295"/>
      <c r="W127"/>
      <c r="X127"/>
      <c r="Y127"/>
      <c r="Z127" s="242"/>
      <c r="AA127" s="292"/>
      <c r="AB127" s="124"/>
      <c r="AC127" s="296"/>
      <c r="AD127" s="296"/>
      <c r="AE127" s="296"/>
      <c r="AF127" s="296"/>
      <c r="AG127" s="296"/>
      <c r="AH127" s="296"/>
      <c r="AI127" s="296"/>
      <c r="AJ127" s="296"/>
      <c r="AK127" s="296"/>
      <c r="AL127"/>
      <c r="AM127" s="124"/>
      <c r="AN127"/>
      <c r="AO127" s="428"/>
    </row>
    <row r="128" spans="1:41" s="343" customFormat="1" ht="11.25" customHeight="1" x14ac:dyDescent="0.25">
      <c r="A128" s="259"/>
      <c r="B128" s="241"/>
      <c r="C128" s="403"/>
      <c r="D128" s="403"/>
      <c r="E128" s="295"/>
      <c r="F128" s="607"/>
      <c r="G128"/>
      <c r="H128"/>
      <c r="I128" s="242"/>
      <c r="J128" s="292"/>
      <c r="K128" s="124"/>
      <c r="L128" s="296"/>
      <c r="M128" s="296"/>
      <c r="N128" s="296"/>
      <c r="O128" s="296"/>
      <c r="P128" s="296"/>
      <c r="Q128" s="296"/>
      <c r="R128" s="296"/>
      <c r="S128" s="296"/>
      <c r="T128" s="296"/>
      <c r="U128" s="124"/>
      <c r="V128" s="295"/>
      <c r="W128"/>
      <c r="X128"/>
      <c r="Y128"/>
      <c r="Z128" s="242"/>
      <c r="AA128" s="292"/>
      <c r="AB128" s="124"/>
      <c r="AC128" s="296"/>
      <c r="AD128" s="296"/>
      <c r="AE128" s="296"/>
      <c r="AF128" s="296"/>
      <c r="AG128" s="296"/>
      <c r="AH128" s="296"/>
      <c r="AI128" s="296"/>
      <c r="AJ128" s="296"/>
      <c r="AK128" s="296"/>
      <c r="AL128"/>
      <c r="AM128" s="124"/>
      <c r="AN128"/>
      <c r="AO128" s="493"/>
    </row>
    <row r="129" spans="1:40" s="30" customFormat="1" ht="13.5" customHeight="1" x14ac:dyDescent="0.25">
      <c r="A129" s="259"/>
      <c r="B129" s="241"/>
      <c r="C129" s="403"/>
      <c r="D129" s="403"/>
      <c r="E129" s="295"/>
      <c r="F129" s="607"/>
      <c r="G129"/>
      <c r="H129"/>
      <c r="I129" s="242"/>
      <c r="J129" s="292"/>
      <c r="K129" s="124"/>
      <c r="L129" s="296"/>
      <c r="M129" s="296"/>
      <c r="N129" s="296"/>
      <c r="O129" s="296"/>
      <c r="P129" s="296"/>
      <c r="Q129" s="296"/>
      <c r="R129" s="296"/>
      <c r="S129" s="296"/>
      <c r="T129" s="296"/>
      <c r="U129" s="124"/>
      <c r="V129" s="295"/>
      <c r="W129"/>
      <c r="X129"/>
      <c r="Y129"/>
      <c r="Z129" s="242"/>
      <c r="AA129" s="292"/>
      <c r="AB129" s="124"/>
      <c r="AC129" s="296"/>
      <c r="AD129" s="296"/>
      <c r="AE129" s="296"/>
      <c r="AF129" s="296"/>
      <c r="AG129" s="296"/>
      <c r="AH129" s="296"/>
      <c r="AI129" s="296"/>
      <c r="AJ129" s="296"/>
      <c r="AK129" s="296"/>
      <c r="AL129"/>
      <c r="AM129" s="124"/>
      <c r="AN129"/>
    </row>
    <row r="130" spans="1:40" s="372" customFormat="1" x14ac:dyDescent="0.25">
      <c r="A130" s="259"/>
      <c r="B130" s="241"/>
      <c r="C130" s="403"/>
      <c r="D130" s="403"/>
      <c r="E130" s="295"/>
      <c r="F130" s="607"/>
      <c r="G130"/>
      <c r="H130"/>
      <c r="I130" s="242"/>
      <c r="J130" s="292"/>
      <c r="K130" s="124"/>
      <c r="L130" s="296"/>
      <c r="M130" s="296"/>
      <c r="N130" s="296"/>
      <c r="O130" s="296"/>
      <c r="P130" s="296"/>
      <c r="Q130" s="296"/>
      <c r="R130" s="296"/>
      <c r="S130" s="296"/>
      <c r="T130" s="296"/>
      <c r="U130" s="124"/>
      <c r="V130" s="295"/>
      <c r="W130"/>
      <c r="X130"/>
      <c r="Y130"/>
      <c r="Z130" s="242"/>
      <c r="AA130" s="292"/>
      <c r="AB130" s="124"/>
      <c r="AC130" s="296"/>
      <c r="AD130" s="296"/>
      <c r="AE130" s="296"/>
      <c r="AF130" s="296"/>
      <c r="AG130" s="296"/>
      <c r="AH130" s="296"/>
      <c r="AI130" s="296"/>
      <c r="AJ130" s="296"/>
      <c r="AK130" s="296"/>
      <c r="AL130"/>
      <c r="AM130" s="124"/>
      <c r="AN130"/>
    </row>
    <row r="131" spans="1:40" s="39" customFormat="1" x14ac:dyDescent="0.25">
      <c r="A131" s="259"/>
      <c r="B131" s="241"/>
      <c r="C131" s="403"/>
      <c r="D131" s="403"/>
      <c r="E131" s="295"/>
      <c r="F131" s="607"/>
      <c r="G131"/>
      <c r="H131"/>
      <c r="I131" s="242"/>
      <c r="J131" s="292"/>
      <c r="K131" s="124"/>
      <c r="L131" s="296"/>
      <c r="M131" s="296"/>
      <c r="N131" s="296"/>
      <c r="O131" s="296"/>
      <c r="P131" s="296"/>
      <c r="Q131" s="296"/>
      <c r="R131" s="296"/>
      <c r="S131" s="296"/>
      <c r="T131" s="296"/>
      <c r="U131" s="124"/>
      <c r="V131" s="295"/>
      <c r="W131"/>
      <c r="X131"/>
      <c r="Y131"/>
      <c r="Z131" s="242"/>
      <c r="AA131" s="292"/>
      <c r="AB131" s="124"/>
      <c r="AC131" s="296"/>
      <c r="AD131" s="296"/>
      <c r="AE131" s="296"/>
      <c r="AF131" s="296"/>
      <c r="AG131" s="296"/>
      <c r="AH131" s="296"/>
      <c r="AI131" s="296"/>
      <c r="AJ131" s="296"/>
      <c r="AK131" s="296"/>
      <c r="AL131"/>
      <c r="AM131" s="124"/>
      <c r="AN131"/>
    </row>
    <row r="132" spans="1:40" s="39" customFormat="1" x14ac:dyDescent="0.25">
      <c r="A132" s="259"/>
      <c r="B132" s="241"/>
      <c r="C132" s="403"/>
      <c r="D132" s="403"/>
      <c r="E132" s="295"/>
      <c r="F132" s="607"/>
      <c r="G132"/>
      <c r="H132"/>
      <c r="I132" s="242"/>
      <c r="J132" s="292"/>
      <c r="K132" s="124"/>
      <c r="L132" s="296"/>
      <c r="M132" s="296"/>
      <c r="N132" s="296"/>
      <c r="O132" s="296"/>
      <c r="P132" s="296"/>
      <c r="Q132" s="296"/>
      <c r="R132" s="296"/>
      <c r="S132" s="296"/>
      <c r="T132" s="296"/>
      <c r="U132" s="124"/>
      <c r="V132" s="295"/>
      <c r="W132"/>
      <c r="X132"/>
      <c r="Y132"/>
      <c r="Z132" s="242"/>
      <c r="AA132" s="292"/>
      <c r="AB132" s="124"/>
      <c r="AC132" s="296"/>
      <c r="AD132" s="296"/>
      <c r="AE132" s="296"/>
      <c r="AF132" s="296"/>
      <c r="AG132" s="296"/>
      <c r="AH132" s="296"/>
      <c r="AI132" s="296"/>
      <c r="AJ132" s="296"/>
      <c r="AK132" s="296"/>
      <c r="AL132"/>
      <c r="AM132" s="124"/>
      <c r="AN132"/>
    </row>
    <row r="133" spans="1:40" s="30" customFormat="1" x14ac:dyDescent="0.25">
      <c r="A133" s="259"/>
      <c r="B133" s="241"/>
      <c r="C133" s="403"/>
      <c r="D133" s="403"/>
      <c r="E133" s="295"/>
      <c r="F133" s="607"/>
      <c r="G133"/>
      <c r="H133"/>
      <c r="I133" s="242"/>
      <c r="J133" s="292"/>
      <c r="K133" s="124"/>
      <c r="L133" s="296"/>
      <c r="M133" s="296"/>
      <c r="N133" s="296"/>
      <c r="O133" s="296"/>
      <c r="P133" s="296"/>
      <c r="Q133" s="296"/>
      <c r="R133" s="296"/>
      <c r="S133" s="296"/>
      <c r="T133" s="296"/>
      <c r="U133" s="124"/>
      <c r="V133" s="295"/>
      <c r="W133"/>
      <c r="X133"/>
      <c r="Y133"/>
      <c r="Z133" s="242"/>
      <c r="AA133" s="292"/>
      <c r="AB133" s="124"/>
      <c r="AC133" s="296"/>
      <c r="AD133" s="296"/>
      <c r="AE133" s="296"/>
      <c r="AF133" s="296"/>
      <c r="AG133" s="296"/>
      <c r="AH133" s="296"/>
      <c r="AI133" s="296"/>
      <c r="AJ133" s="296"/>
      <c r="AK133" s="296"/>
      <c r="AL133"/>
      <c r="AM133" s="124"/>
      <c r="AN133"/>
    </row>
    <row r="134" spans="1:40" s="343" customFormat="1" x14ac:dyDescent="0.25">
      <c r="A134" s="259"/>
      <c r="B134" s="241"/>
      <c r="C134" s="403"/>
      <c r="D134" s="403"/>
      <c r="E134" s="295"/>
      <c r="F134" s="607"/>
      <c r="G134"/>
      <c r="H134"/>
      <c r="I134" s="242"/>
      <c r="J134" s="292"/>
      <c r="K134" s="124"/>
      <c r="L134" s="296"/>
      <c r="M134" s="296"/>
      <c r="N134" s="296"/>
      <c r="O134" s="296"/>
      <c r="P134" s="296"/>
      <c r="Q134" s="296"/>
      <c r="R134" s="296"/>
      <c r="S134" s="296"/>
      <c r="T134" s="296"/>
      <c r="U134" s="124"/>
      <c r="V134" s="295"/>
      <c r="W134"/>
      <c r="X134"/>
      <c r="Y134"/>
      <c r="Z134" s="242"/>
      <c r="AA134" s="292"/>
      <c r="AB134" s="124"/>
      <c r="AC134" s="296"/>
      <c r="AD134" s="296"/>
      <c r="AE134" s="296"/>
      <c r="AF134" s="296"/>
      <c r="AG134" s="296"/>
      <c r="AH134" s="296"/>
      <c r="AI134" s="296"/>
      <c r="AJ134" s="296"/>
      <c r="AK134" s="296"/>
      <c r="AL134"/>
      <c r="AM134" s="124"/>
      <c r="AN134"/>
    </row>
    <row r="135" spans="1:40" s="343" customFormat="1" x14ac:dyDescent="0.25">
      <c r="A135" s="259"/>
      <c r="B135" s="241"/>
      <c r="C135" s="403"/>
      <c r="D135" s="403"/>
      <c r="E135" s="295"/>
      <c r="F135" s="607"/>
      <c r="G135"/>
      <c r="H135"/>
      <c r="I135" s="242"/>
      <c r="J135" s="292"/>
      <c r="K135" s="124"/>
      <c r="L135" s="296"/>
      <c r="M135" s="296"/>
      <c r="N135" s="296"/>
      <c r="O135" s="296"/>
      <c r="P135" s="296"/>
      <c r="Q135" s="296"/>
      <c r="R135" s="296"/>
      <c r="S135" s="296"/>
      <c r="T135" s="296"/>
      <c r="U135" s="124"/>
      <c r="V135" s="295"/>
      <c r="W135"/>
      <c r="X135"/>
      <c r="Y135"/>
      <c r="Z135" s="242"/>
      <c r="AA135" s="292"/>
      <c r="AB135" s="124"/>
      <c r="AC135" s="296"/>
      <c r="AD135" s="296"/>
      <c r="AE135" s="296"/>
      <c r="AF135" s="296"/>
      <c r="AG135" s="296"/>
      <c r="AH135" s="296"/>
      <c r="AI135" s="296"/>
      <c r="AJ135" s="296"/>
      <c r="AK135" s="296"/>
      <c r="AL135"/>
      <c r="AM135" s="124"/>
      <c r="AN135"/>
    </row>
    <row r="136" spans="1:40" s="343" customFormat="1" x14ac:dyDescent="0.25">
      <c r="A136" s="259"/>
      <c r="B136" s="241"/>
      <c r="C136" s="403"/>
      <c r="D136" s="403"/>
      <c r="E136" s="295"/>
      <c r="F136" s="607"/>
      <c r="G136"/>
      <c r="H136"/>
      <c r="I136" s="242"/>
      <c r="J136" s="292"/>
      <c r="K136" s="124"/>
      <c r="L136" s="296"/>
      <c r="M136" s="296"/>
      <c r="N136" s="296"/>
      <c r="O136" s="296"/>
      <c r="P136" s="296"/>
      <c r="Q136" s="296"/>
      <c r="R136" s="296"/>
      <c r="S136" s="296"/>
      <c r="T136" s="296"/>
      <c r="U136" s="124"/>
      <c r="V136" s="295"/>
      <c r="W136"/>
      <c r="X136"/>
      <c r="Y136"/>
      <c r="Z136" s="242"/>
      <c r="AA136" s="292"/>
      <c r="AB136" s="124"/>
      <c r="AC136" s="296"/>
      <c r="AD136" s="296"/>
      <c r="AE136" s="296"/>
      <c r="AF136" s="296"/>
      <c r="AG136" s="296"/>
      <c r="AH136" s="296"/>
      <c r="AI136" s="296"/>
      <c r="AJ136" s="296"/>
      <c r="AK136" s="296"/>
      <c r="AL136"/>
      <c r="AM136" s="124"/>
      <c r="AN136"/>
    </row>
    <row r="137" spans="1:40" s="39" customFormat="1" x14ac:dyDescent="0.25">
      <c r="A137" s="259"/>
      <c r="B137" s="241"/>
      <c r="C137" s="403"/>
      <c r="D137" s="403"/>
      <c r="E137" s="295"/>
      <c r="F137" s="607"/>
      <c r="G137"/>
      <c r="H137"/>
      <c r="I137" s="242"/>
      <c r="J137" s="292"/>
      <c r="K137" s="124"/>
      <c r="L137" s="296"/>
      <c r="M137" s="296"/>
      <c r="N137" s="296"/>
      <c r="O137" s="296"/>
      <c r="P137" s="296"/>
      <c r="Q137" s="296"/>
      <c r="R137" s="296"/>
      <c r="S137" s="296"/>
      <c r="T137" s="296"/>
      <c r="U137" s="124"/>
      <c r="V137" s="295"/>
      <c r="W137"/>
      <c r="X137"/>
      <c r="Y137"/>
      <c r="Z137" s="242"/>
      <c r="AA137" s="292"/>
      <c r="AB137" s="124"/>
      <c r="AC137" s="296"/>
      <c r="AD137" s="296"/>
      <c r="AE137" s="296"/>
      <c r="AF137" s="296"/>
      <c r="AG137" s="296"/>
      <c r="AH137" s="296"/>
      <c r="AI137" s="296"/>
      <c r="AJ137" s="296"/>
      <c r="AK137" s="296"/>
      <c r="AL137"/>
      <c r="AM137" s="124"/>
      <c r="AN137"/>
    </row>
    <row r="138" spans="1:40" s="39" customFormat="1" x14ac:dyDescent="0.25">
      <c r="A138" s="259"/>
      <c r="B138" s="241"/>
      <c r="C138" s="403"/>
      <c r="D138" s="403"/>
      <c r="E138" s="295"/>
      <c r="F138" s="607"/>
      <c r="G138"/>
      <c r="H138"/>
      <c r="I138" s="242"/>
      <c r="J138" s="292"/>
      <c r="K138" s="124"/>
      <c r="L138" s="296"/>
      <c r="M138" s="296"/>
      <c r="N138" s="296"/>
      <c r="O138" s="296"/>
      <c r="P138" s="296"/>
      <c r="Q138" s="296"/>
      <c r="R138" s="296"/>
      <c r="S138" s="296"/>
      <c r="T138" s="296"/>
      <c r="U138" s="124"/>
      <c r="V138" s="295"/>
      <c r="W138"/>
      <c r="X138"/>
      <c r="Y138"/>
      <c r="Z138" s="242"/>
      <c r="AA138" s="292"/>
      <c r="AB138" s="124"/>
      <c r="AC138" s="296"/>
      <c r="AD138" s="296"/>
      <c r="AE138" s="296"/>
      <c r="AF138" s="296"/>
      <c r="AG138" s="296"/>
      <c r="AH138" s="296"/>
      <c r="AI138" s="296"/>
      <c r="AJ138" s="296"/>
      <c r="AK138" s="296"/>
      <c r="AL138"/>
      <c r="AM138" s="124"/>
      <c r="AN138"/>
    </row>
    <row r="139" spans="1:40" s="39" customFormat="1" x14ac:dyDescent="0.25">
      <c r="A139" s="259"/>
      <c r="B139" s="241"/>
      <c r="C139" s="403"/>
      <c r="D139" s="403"/>
      <c r="E139" s="295"/>
      <c r="F139" s="607"/>
      <c r="G139"/>
      <c r="H139"/>
      <c r="I139" s="242"/>
      <c r="J139" s="292"/>
      <c r="K139" s="124"/>
      <c r="L139" s="296"/>
      <c r="M139" s="296"/>
      <c r="N139" s="296"/>
      <c r="O139" s="296"/>
      <c r="P139" s="296"/>
      <c r="Q139" s="296"/>
      <c r="R139" s="296"/>
      <c r="S139" s="296"/>
      <c r="T139" s="296"/>
      <c r="U139" s="124"/>
      <c r="V139" s="295"/>
      <c r="W139"/>
      <c r="X139"/>
      <c r="Y139"/>
      <c r="Z139" s="242"/>
      <c r="AA139" s="292"/>
      <c r="AB139" s="124"/>
      <c r="AC139" s="296"/>
      <c r="AD139" s="296"/>
      <c r="AE139" s="296"/>
      <c r="AF139" s="296"/>
      <c r="AG139" s="296"/>
      <c r="AH139" s="296"/>
      <c r="AI139" s="296"/>
      <c r="AJ139" s="296"/>
      <c r="AK139" s="296"/>
      <c r="AL139"/>
      <c r="AM139" s="124"/>
      <c r="AN139"/>
    </row>
    <row r="140" spans="1:40" s="39" customFormat="1" x14ac:dyDescent="0.25">
      <c r="A140" s="259"/>
      <c r="B140" s="241"/>
      <c r="C140" s="403"/>
      <c r="D140" s="403"/>
      <c r="E140" s="295"/>
      <c r="F140" s="607"/>
      <c r="G140"/>
      <c r="H140"/>
      <c r="I140" s="242"/>
      <c r="J140" s="292"/>
      <c r="K140" s="124"/>
      <c r="L140" s="296"/>
      <c r="M140" s="296"/>
      <c r="N140" s="296"/>
      <c r="O140" s="296"/>
      <c r="P140" s="296"/>
      <c r="Q140" s="296"/>
      <c r="R140" s="296"/>
      <c r="S140" s="296"/>
      <c r="T140" s="296"/>
      <c r="U140" s="124"/>
      <c r="V140" s="295"/>
      <c r="W140"/>
      <c r="X140"/>
      <c r="Y140"/>
      <c r="Z140" s="242"/>
      <c r="AA140" s="292"/>
      <c r="AB140" s="124"/>
      <c r="AC140" s="296"/>
      <c r="AD140" s="296"/>
      <c r="AE140" s="296"/>
      <c r="AF140" s="296"/>
      <c r="AG140" s="296"/>
      <c r="AH140" s="296"/>
      <c r="AI140" s="296"/>
      <c r="AJ140" s="296"/>
      <c r="AK140" s="296"/>
      <c r="AL140"/>
      <c r="AM140" s="124"/>
      <c r="AN140"/>
    </row>
    <row r="141" spans="1:40" s="39" customFormat="1" x14ac:dyDescent="0.25">
      <c r="A141" s="259"/>
      <c r="B141" s="241"/>
      <c r="C141" s="403"/>
      <c r="D141" s="403"/>
      <c r="E141" s="295"/>
      <c r="F141" s="607"/>
      <c r="G141"/>
      <c r="H141"/>
      <c r="I141" s="242"/>
      <c r="J141" s="292"/>
      <c r="K141" s="124"/>
      <c r="L141" s="296"/>
      <c r="M141" s="296"/>
      <c r="N141" s="296"/>
      <c r="O141" s="296"/>
      <c r="P141" s="296"/>
      <c r="Q141" s="296"/>
      <c r="R141" s="296"/>
      <c r="S141" s="296"/>
      <c r="T141" s="296"/>
      <c r="U141" s="124"/>
      <c r="V141" s="295"/>
      <c r="W141"/>
      <c r="X141"/>
      <c r="Y141"/>
      <c r="Z141" s="242"/>
      <c r="AA141" s="292"/>
      <c r="AB141" s="124"/>
      <c r="AC141" s="296"/>
      <c r="AD141" s="296"/>
      <c r="AE141" s="296"/>
      <c r="AF141" s="296"/>
      <c r="AG141" s="296"/>
      <c r="AH141" s="296"/>
      <c r="AI141" s="296"/>
      <c r="AJ141" s="296"/>
      <c r="AK141" s="296"/>
      <c r="AL141"/>
      <c r="AM141" s="124"/>
      <c r="AN141"/>
    </row>
    <row r="142" spans="1:40" s="39" customFormat="1" x14ac:dyDescent="0.25">
      <c r="A142" s="259"/>
      <c r="B142" s="241"/>
      <c r="C142" s="403"/>
      <c r="D142" s="403"/>
      <c r="E142" s="295"/>
      <c r="F142" s="607"/>
      <c r="G142"/>
      <c r="H142"/>
      <c r="I142" s="242"/>
      <c r="J142" s="292"/>
      <c r="K142" s="124"/>
      <c r="L142" s="296"/>
      <c r="M142" s="296"/>
      <c r="N142" s="296"/>
      <c r="O142" s="296"/>
      <c r="P142" s="296"/>
      <c r="Q142" s="296"/>
      <c r="R142" s="296"/>
      <c r="S142" s="296"/>
      <c r="T142" s="296"/>
      <c r="U142" s="124"/>
      <c r="V142" s="295"/>
      <c r="W142"/>
      <c r="X142"/>
      <c r="Y142"/>
      <c r="Z142" s="242"/>
      <c r="AA142" s="292"/>
      <c r="AB142" s="124"/>
      <c r="AC142" s="296"/>
      <c r="AD142" s="296"/>
      <c r="AE142" s="296"/>
      <c r="AF142" s="296"/>
      <c r="AG142" s="296"/>
      <c r="AH142" s="296"/>
      <c r="AI142" s="296"/>
      <c r="AJ142" s="296"/>
      <c r="AK142" s="296"/>
      <c r="AL142"/>
      <c r="AM142" s="124"/>
      <c r="AN142"/>
    </row>
    <row r="143" spans="1:40" s="39" customFormat="1" x14ac:dyDescent="0.25">
      <c r="A143" s="259"/>
      <c r="B143" s="241"/>
      <c r="C143" s="403"/>
      <c r="D143" s="403"/>
      <c r="E143" s="295"/>
      <c r="F143" s="607"/>
      <c r="G143"/>
      <c r="H143"/>
      <c r="I143" s="242"/>
      <c r="J143" s="292"/>
      <c r="K143" s="124"/>
      <c r="L143" s="296"/>
      <c r="M143" s="296"/>
      <c r="N143" s="296"/>
      <c r="O143" s="296"/>
      <c r="P143" s="296"/>
      <c r="Q143" s="296"/>
      <c r="R143" s="296"/>
      <c r="S143" s="296"/>
      <c r="T143" s="296"/>
      <c r="U143" s="124"/>
      <c r="V143" s="295"/>
      <c r="W143"/>
      <c r="X143"/>
      <c r="Y143"/>
      <c r="Z143" s="242"/>
      <c r="AA143" s="292"/>
      <c r="AB143" s="124"/>
      <c r="AC143" s="296"/>
      <c r="AD143" s="296"/>
      <c r="AE143" s="296"/>
      <c r="AF143" s="296"/>
      <c r="AG143" s="296"/>
      <c r="AH143" s="296"/>
      <c r="AI143" s="296"/>
      <c r="AJ143" s="296"/>
      <c r="AK143" s="296"/>
      <c r="AL143"/>
      <c r="AM143" s="124"/>
      <c r="AN143"/>
    </row>
    <row r="144" spans="1:40" s="39" customFormat="1" x14ac:dyDescent="0.25">
      <c r="A144" s="259"/>
      <c r="B144" s="241"/>
      <c r="C144" s="403"/>
      <c r="D144" s="403"/>
      <c r="E144" s="295"/>
      <c r="F144" s="607"/>
      <c r="G144"/>
      <c r="H144"/>
      <c r="I144" s="242"/>
      <c r="J144" s="292"/>
      <c r="K144" s="124"/>
      <c r="L144" s="296"/>
      <c r="M144" s="296"/>
      <c r="N144" s="296"/>
      <c r="O144" s="296"/>
      <c r="P144" s="296"/>
      <c r="Q144" s="296"/>
      <c r="R144" s="296"/>
      <c r="S144" s="296"/>
      <c r="T144" s="296"/>
      <c r="U144" s="124"/>
      <c r="V144" s="295"/>
      <c r="W144"/>
      <c r="X144"/>
      <c r="Y144"/>
      <c r="Z144" s="242"/>
      <c r="AA144" s="292"/>
      <c r="AB144" s="124"/>
      <c r="AC144" s="296"/>
      <c r="AD144" s="296"/>
      <c r="AE144" s="296"/>
      <c r="AF144" s="296"/>
      <c r="AG144" s="296"/>
      <c r="AH144" s="296"/>
      <c r="AI144" s="296"/>
      <c r="AJ144" s="296"/>
      <c r="AK144" s="296"/>
      <c r="AL144"/>
      <c r="AM144" s="124"/>
      <c r="AN144"/>
    </row>
    <row r="145" spans="1:40" s="39" customFormat="1" x14ac:dyDescent="0.25">
      <c r="A145" s="259"/>
      <c r="B145" s="241"/>
      <c r="C145" s="403"/>
      <c r="D145" s="403"/>
      <c r="E145" s="295"/>
      <c r="F145" s="607"/>
      <c r="G145"/>
      <c r="H145"/>
      <c r="I145" s="242"/>
      <c r="J145" s="292"/>
      <c r="K145" s="124"/>
      <c r="L145" s="296"/>
      <c r="M145" s="296"/>
      <c r="N145" s="296"/>
      <c r="O145" s="296"/>
      <c r="P145" s="296"/>
      <c r="Q145" s="296"/>
      <c r="R145" s="296"/>
      <c r="S145" s="296"/>
      <c r="T145" s="296"/>
      <c r="U145" s="124"/>
      <c r="V145" s="295"/>
      <c r="W145"/>
      <c r="X145"/>
      <c r="Y145"/>
      <c r="Z145" s="242"/>
      <c r="AA145" s="292"/>
      <c r="AB145" s="124"/>
      <c r="AC145" s="296"/>
      <c r="AD145" s="296"/>
      <c r="AE145" s="296"/>
      <c r="AF145" s="296"/>
      <c r="AG145" s="296"/>
      <c r="AH145" s="296"/>
      <c r="AI145" s="296"/>
      <c r="AJ145" s="296"/>
      <c r="AK145" s="296"/>
      <c r="AL145"/>
      <c r="AM145" s="124"/>
      <c r="AN145"/>
    </row>
    <row r="146" spans="1:40" s="39" customFormat="1" x14ac:dyDescent="0.25">
      <c r="A146" s="259"/>
      <c r="B146" s="241"/>
      <c r="C146" s="403"/>
      <c r="D146" s="403"/>
      <c r="E146" s="295"/>
      <c r="F146" s="607"/>
      <c r="G146"/>
      <c r="H146"/>
      <c r="I146" s="242"/>
      <c r="J146" s="292"/>
      <c r="K146" s="124"/>
      <c r="L146" s="296"/>
      <c r="M146" s="296"/>
      <c r="N146" s="296"/>
      <c r="O146" s="296"/>
      <c r="P146" s="296"/>
      <c r="Q146" s="296"/>
      <c r="R146" s="296"/>
      <c r="S146" s="296"/>
      <c r="T146" s="296"/>
      <c r="U146" s="124"/>
      <c r="V146" s="295"/>
      <c r="W146"/>
      <c r="X146"/>
      <c r="Y146"/>
      <c r="Z146" s="242"/>
      <c r="AA146" s="292"/>
      <c r="AB146" s="124"/>
      <c r="AC146" s="296"/>
      <c r="AD146" s="296"/>
      <c r="AE146" s="296"/>
      <c r="AF146" s="296"/>
      <c r="AG146" s="296"/>
      <c r="AH146" s="296"/>
      <c r="AI146" s="296"/>
      <c r="AJ146" s="296"/>
      <c r="AK146" s="296"/>
      <c r="AL146"/>
      <c r="AM146" s="124"/>
      <c r="AN146"/>
    </row>
    <row r="147" spans="1:40" s="39" customFormat="1" x14ac:dyDescent="0.25">
      <c r="A147" s="259"/>
      <c r="B147" s="241"/>
      <c r="C147" s="403"/>
      <c r="D147" s="403"/>
      <c r="E147" s="295"/>
      <c r="F147" s="607"/>
      <c r="G147"/>
      <c r="H147"/>
      <c r="I147" s="242"/>
      <c r="J147" s="292"/>
      <c r="K147" s="124"/>
      <c r="L147" s="296"/>
      <c r="M147" s="296"/>
      <c r="N147" s="296"/>
      <c r="O147" s="296"/>
      <c r="P147" s="296"/>
      <c r="Q147" s="296"/>
      <c r="R147" s="296"/>
      <c r="S147" s="296"/>
      <c r="T147" s="296"/>
      <c r="U147" s="124"/>
      <c r="V147" s="295"/>
      <c r="W147"/>
      <c r="X147"/>
      <c r="Y147"/>
      <c r="Z147" s="242"/>
      <c r="AA147" s="292"/>
      <c r="AB147" s="124"/>
      <c r="AC147" s="296"/>
      <c r="AD147" s="296"/>
      <c r="AE147" s="296"/>
      <c r="AF147" s="296"/>
      <c r="AG147" s="296"/>
      <c r="AH147" s="296"/>
      <c r="AI147" s="296"/>
      <c r="AJ147" s="296"/>
      <c r="AK147" s="296"/>
      <c r="AL147"/>
      <c r="AM147" s="124"/>
      <c r="AN147"/>
    </row>
    <row r="148" spans="1:40" s="39" customFormat="1" x14ac:dyDescent="0.25">
      <c r="A148" s="259"/>
      <c r="B148" s="241"/>
      <c r="C148" s="403"/>
      <c r="D148" s="403"/>
      <c r="E148" s="295"/>
      <c r="F148" s="607"/>
      <c r="G148"/>
      <c r="H148"/>
      <c r="I148" s="242"/>
      <c r="J148" s="292"/>
      <c r="K148" s="124"/>
      <c r="L148" s="296"/>
      <c r="M148" s="296"/>
      <c r="N148" s="296"/>
      <c r="O148" s="296"/>
      <c r="P148" s="296"/>
      <c r="Q148" s="296"/>
      <c r="R148" s="296"/>
      <c r="S148" s="296"/>
      <c r="T148" s="296"/>
      <c r="U148" s="124"/>
      <c r="V148" s="295"/>
      <c r="W148"/>
      <c r="X148"/>
      <c r="Y148"/>
      <c r="Z148" s="242"/>
      <c r="AA148" s="292"/>
      <c r="AB148" s="124"/>
      <c r="AC148" s="296"/>
      <c r="AD148" s="296"/>
      <c r="AE148" s="296"/>
      <c r="AF148" s="296"/>
      <c r="AG148" s="296"/>
      <c r="AH148" s="296"/>
      <c r="AI148" s="296"/>
      <c r="AJ148" s="296"/>
      <c r="AK148" s="296"/>
      <c r="AL148"/>
      <c r="AM148" s="124"/>
      <c r="AN148"/>
    </row>
    <row r="149" spans="1:40" s="39" customFormat="1" x14ac:dyDescent="0.25">
      <c r="A149" s="259"/>
      <c r="B149" s="241"/>
      <c r="C149" s="403"/>
      <c r="D149" s="403"/>
      <c r="E149" s="295"/>
      <c r="F149" s="607"/>
      <c r="G149"/>
      <c r="H149"/>
      <c r="I149" s="242"/>
      <c r="J149" s="292"/>
      <c r="K149" s="124"/>
      <c r="L149" s="296"/>
      <c r="M149" s="296"/>
      <c r="N149" s="296"/>
      <c r="O149" s="296"/>
      <c r="P149" s="296"/>
      <c r="Q149" s="296"/>
      <c r="R149" s="296"/>
      <c r="S149" s="296"/>
      <c r="T149" s="296"/>
      <c r="U149" s="124"/>
      <c r="V149" s="295"/>
      <c r="W149"/>
      <c r="X149"/>
      <c r="Y149"/>
      <c r="Z149" s="242"/>
      <c r="AA149" s="292"/>
      <c r="AB149" s="124"/>
      <c r="AC149" s="296"/>
      <c r="AD149" s="296"/>
      <c r="AE149" s="296"/>
      <c r="AF149" s="296"/>
      <c r="AG149" s="296"/>
      <c r="AH149" s="296"/>
      <c r="AI149" s="296"/>
      <c r="AJ149" s="296"/>
      <c r="AK149" s="296"/>
      <c r="AL149"/>
      <c r="AM149" s="124"/>
      <c r="AN149"/>
    </row>
    <row r="150" spans="1:40" s="39" customFormat="1" x14ac:dyDescent="0.25">
      <c r="A150" s="259"/>
      <c r="B150" s="241"/>
      <c r="C150" s="403"/>
      <c r="D150" s="403"/>
      <c r="E150" s="295"/>
      <c r="F150" s="607"/>
      <c r="G150"/>
      <c r="H150"/>
      <c r="I150" s="242"/>
      <c r="J150" s="292"/>
      <c r="K150" s="124"/>
      <c r="L150" s="296"/>
      <c r="M150" s="296"/>
      <c r="N150" s="296"/>
      <c r="O150" s="296"/>
      <c r="P150" s="296"/>
      <c r="Q150" s="296"/>
      <c r="R150" s="296"/>
      <c r="S150" s="296"/>
      <c r="T150" s="296"/>
      <c r="U150" s="124"/>
      <c r="V150" s="295"/>
      <c r="W150"/>
      <c r="X150"/>
      <c r="Y150"/>
      <c r="Z150" s="242"/>
      <c r="AA150" s="292"/>
      <c r="AB150" s="124"/>
      <c r="AC150" s="296"/>
      <c r="AD150" s="296"/>
      <c r="AE150" s="296"/>
      <c r="AF150" s="296"/>
      <c r="AG150" s="296"/>
      <c r="AH150" s="296"/>
      <c r="AI150" s="296"/>
      <c r="AJ150" s="296"/>
      <c r="AK150" s="296"/>
      <c r="AL150"/>
      <c r="AM150" s="124"/>
      <c r="AN150"/>
    </row>
    <row r="151" spans="1:40" s="39" customFormat="1" x14ac:dyDescent="0.25">
      <c r="A151" s="259"/>
      <c r="B151" s="241"/>
      <c r="C151" s="403"/>
      <c r="D151" s="403"/>
      <c r="E151" s="295"/>
      <c r="F151" s="607"/>
      <c r="G151"/>
      <c r="H151"/>
      <c r="I151" s="242"/>
      <c r="J151" s="292"/>
      <c r="K151" s="124"/>
      <c r="L151" s="296"/>
      <c r="M151" s="296"/>
      <c r="N151" s="296"/>
      <c r="O151" s="296"/>
      <c r="P151" s="296"/>
      <c r="Q151" s="296"/>
      <c r="R151" s="296"/>
      <c r="S151" s="296"/>
      <c r="T151" s="296"/>
      <c r="U151" s="124"/>
      <c r="V151" s="295"/>
      <c r="W151"/>
      <c r="X151"/>
      <c r="Y151"/>
      <c r="Z151" s="242"/>
      <c r="AA151" s="292"/>
      <c r="AB151" s="124"/>
      <c r="AC151" s="296"/>
      <c r="AD151" s="296"/>
      <c r="AE151" s="296"/>
      <c r="AF151" s="296"/>
      <c r="AG151" s="296"/>
      <c r="AH151" s="296"/>
      <c r="AI151" s="296"/>
      <c r="AJ151" s="296"/>
      <c r="AK151" s="296"/>
      <c r="AL151"/>
      <c r="AM151" s="124"/>
      <c r="AN151"/>
    </row>
    <row r="152" spans="1:40" s="39" customFormat="1" x14ac:dyDescent="0.25">
      <c r="A152" s="259"/>
      <c r="B152" s="241"/>
      <c r="C152" s="403"/>
      <c r="D152" s="403"/>
      <c r="E152" s="295"/>
      <c r="F152" s="607"/>
      <c r="G152"/>
      <c r="H152"/>
      <c r="I152" s="242"/>
      <c r="J152" s="292"/>
      <c r="K152" s="124"/>
      <c r="L152" s="296"/>
      <c r="M152" s="296"/>
      <c r="N152" s="296"/>
      <c r="O152" s="296"/>
      <c r="P152" s="296"/>
      <c r="Q152" s="296"/>
      <c r="R152" s="296"/>
      <c r="S152" s="296"/>
      <c r="T152" s="296"/>
      <c r="U152" s="124"/>
      <c r="V152" s="295"/>
      <c r="W152"/>
      <c r="X152"/>
      <c r="Y152"/>
      <c r="Z152" s="242"/>
      <c r="AA152" s="292"/>
      <c r="AB152" s="124"/>
      <c r="AC152" s="296"/>
      <c r="AD152" s="296"/>
      <c r="AE152" s="296"/>
      <c r="AF152" s="296"/>
      <c r="AG152" s="296"/>
      <c r="AH152" s="296"/>
      <c r="AI152" s="296"/>
      <c r="AJ152" s="296"/>
      <c r="AK152" s="296"/>
      <c r="AL152"/>
      <c r="AM152" s="124"/>
      <c r="AN152"/>
    </row>
    <row r="153" spans="1:40" s="39" customFormat="1" x14ac:dyDescent="0.25">
      <c r="A153" s="259"/>
      <c r="B153" s="241"/>
      <c r="C153" s="403"/>
      <c r="D153" s="403"/>
      <c r="E153" s="295"/>
      <c r="F153" s="607"/>
      <c r="G153"/>
      <c r="H153"/>
      <c r="I153" s="242"/>
      <c r="J153" s="292"/>
      <c r="K153" s="124"/>
      <c r="L153" s="296"/>
      <c r="M153" s="296"/>
      <c r="N153" s="296"/>
      <c r="O153" s="296"/>
      <c r="P153" s="296"/>
      <c r="Q153" s="296"/>
      <c r="R153" s="296"/>
      <c r="S153" s="296"/>
      <c r="T153" s="296"/>
      <c r="U153" s="124"/>
      <c r="V153" s="295"/>
      <c r="W153"/>
      <c r="X153"/>
      <c r="Y153"/>
      <c r="Z153" s="242"/>
      <c r="AA153" s="292"/>
      <c r="AB153" s="124"/>
      <c r="AC153" s="296"/>
      <c r="AD153" s="296"/>
      <c r="AE153" s="296"/>
      <c r="AF153" s="296"/>
      <c r="AG153" s="296"/>
      <c r="AH153" s="296"/>
      <c r="AI153" s="296"/>
      <c r="AJ153" s="296"/>
      <c r="AK153" s="296"/>
      <c r="AL153"/>
      <c r="AM153" s="124"/>
      <c r="AN153"/>
    </row>
    <row r="154" spans="1:40" s="39" customFormat="1" x14ac:dyDescent="0.25">
      <c r="A154" s="259"/>
      <c r="B154" s="241"/>
      <c r="C154" s="403"/>
      <c r="D154" s="403"/>
      <c r="E154" s="295"/>
      <c r="F154" s="607"/>
      <c r="G154"/>
      <c r="H154"/>
      <c r="I154" s="242"/>
      <c r="J154" s="292"/>
      <c r="K154" s="124"/>
      <c r="L154" s="296"/>
      <c r="M154" s="296"/>
      <c r="N154" s="296"/>
      <c r="O154" s="296"/>
      <c r="P154" s="296"/>
      <c r="Q154" s="296"/>
      <c r="R154" s="296"/>
      <c r="S154" s="296"/>
      <c r="T154" s="296"/>
      <c r="U154" s="124"/>
      <c r="V154" s="295"/>
      <c r="W154"/>
      <c r="X154"/>
      <c r="Y154"/>
      <c r="Z154" s="242"/>
      <c r="AA154" s="292"/>
      <c r="AB154" s="124"/>
      <c r="AC154" s="296"/>
      <c r="AD154" s="296"/>
      <c r="AE154" s="296"/>
      <c r="AF154" s="296"/>
      <c r="AG154" s="296"/>
      <c r="AH154" s="296"/>
      <c r="AI154" s="296"/>
      <c r="AJ154" s="296"/>
      <c r="AK154" s="296"/>
      <c r="AL154"/>
      <c r="AM154" s="124"/>
      <c r="AN154"/>
    </row>
    <row r="155" spans="1:40" s="39" customFormat="1" x14ac:dyDescent="0.25">
      <c r="A155" s="259"/>
      <c r="B155" s="241"/>
      <c r="C155" s="403"/>
      <c r="D155" s="403"/>
      <c r="E155" s="295"/>
      <c r="F155" s="607"/>
      <c r="G155"/>
      <c r="H155"/>
      <c r="I155" s="242"/>
      <c r="J155" s="292"/>
      <c r="K155" s="124"/>
      <c r="L155" s="296"/>
      <c r="M155" s="296"/>
      <c r="N155" s="296"/>
      <c r="O155" s="296"/>
      <c r="P155" s="296"/>
      <c r="Q155" s="296"/>
      <c r="R155" s="296"/>
      <c r="S155" s="296"/>
      <c r="T155" s="296"/>
      <c r="U155" s="124"/>
      <c r="V155" s="295"/>
      <c r="W155"/>
      <c r="X155"/>
      <c r="Y155"/>
      <c r="Z155" s="242"/>
      <c r="AA155" s="292"/>
      <c r="AB155" s="124"/>
      <c r="AC155" s="296"/>
      <c r="AD155" s="296"/>
      <c r="AE155" s="296"/>
      <c r="AF155" s="296"/>
      <c r="AG155" s="296"/>
      <c r="AH155" s="296"/>
      <c r="AI155" s="296"/>
      <c r="AJ155" s="296"/>
      <c r="AK155" s="296"/>
      <c r="AL155"/>
      <c r="AM155" s="124"/>
      <c r="AN155"/>
    </row>
    <row r="156" spans="1:40" s="39" customFormat="1" x14ac:dyDescent="0.25">
      <c r="A156" s="259"/>
      <c r="B156" s="241"/>
      <c r="C156" s="403"/>
      <c r="D156" s="403"/>
      <c r="E156" s="295"/>
      <c r="F156" s="607"/>
      <c r="G156"/>
      <c r="H156"/>
      <c r="I156" s="242"/>
      <c r="J156" s="292"/>
      <c r="K156" s="124"/>
      <c r="L156" s="296"/>
      <c r="M156" s="296"/>
      <c r="N156" s="296"/>
      <c r="O156" s="296"/>
      <c r="P156" s="296"/>
      <c r="Q156" s="296"/>
      <c r="R156" s="296"/>
      <c r="S156" s="296"/>
      <c r="T156" s="296"/>
      <c r="U156" s="124"/>
      <c r="V156" s="295"/>
      <c r="W156"/>
      <c r="X156"/>
      <c r="Y156"/>
      <c r="Z156" s="242"/>
      <c r="AA156" s="292"/>
      <c r="AB156" s="124"/>
      <c r="AC156" s="296"/>
      <c r="AD156" s="296"/>
      <c r="AE156" s="296"/>
      <c r="AF156" s="296"/>
      <c r="AG156" s="296"/>
      <c r="AH156" s="296"/>
      <c r="AI156" s="296"/>
      <c r="AJ156" s="296"/>
      <c r="AK156" s="296"/>
      <c r="AL156"/>
      <c r="AM156" s="124"/>
      <c r="AN156"/>
    </row>
    <row r="157" spans="1:40" s="39" customFormat="1" x14ac:dyDescent="0.25">
      <c r="A157" s="259"/>
      <c r="B157" s="241"/>
      <c r="C157" s="403"/>
      <c r="D157" s="403"/>
      <c r="E157" s="295"/>
      <c r="F157" s="607"/>
      <c r="G157"/>
      <c r="H157"/>
      <c r="I157" s="242"/>
      <c r="J157" s="292"/>
      <c r="K157" s="124"/>
      <c r="L157" s="296"/>
      <c r="M157" s="296"/>
      <c r="N157" s="296"/>
      <c r="O157" s="296"/>
      <c r="P157" s="296"/>
      <c r="Q157" s="296"/>
      <c r="R157" s="296"/>
      <c r="S157" s="296"/>
      <c r="T157" s="296"/>
      <c r="U157" s="124"/>
      <c r="V157" s="295"/>
      <c r="W157"/>
      <c r="X157"/>
      <c r="Y157"/>
      <c r="Z157" s="242"/>
      <c r="AA157" s="292"/>
      <c r="AB157" s="124"/>
      <c r="AC157" s="296"/>
      <c r="AD157" s="296"/>
      <c r="AE157" s="296"/>
      <c r="AF157" s="296"/>
      <c r="AG157" s="296"/>
      <c r="AH157" s="296"/>
      <c r="AI157" s="296"/>
      <c r="AJ157" s="296"/>
      <c r="AK157" s="296"/>
      <c r="AL157"/>
      <c r="AM157" s="124"/>
      <c r="AN157"/>
    </row>
    <row r="158" spans="1:40" s="39" customFormat="1" x14ac:dyDescent="0.25">
      <c r="A158" s="259"/>
      <c r="B158" s="241"/>
      <c r="C158" s="403"/>
      <c r="D158" s="403"/>
      <c r="E158" s="295"/>
      <c r="F158" s="607"/>
      <c r="G158"/>
      <c r="H158"/>
      <c r="I158" s="242"/>
      <c r="J158" s="292"/>
      <c r="K158" s="124"/>
      <c r="L158" s="296"/>
      <c r="M158" s="296"/>
      <c r="N158" s="296"/>
      <c r="O158" s="296"/>
      <c r="P158" s="296"/>
      <c r="Q158" s="296"/>
      <c r="R158" s="296"/>
      <c r="S158" s="296"/>
      <c r="T158" s="296"/>
      <c r="U158" s="124"/>
      <c r="V158" s="295"/>
      <c r="W158"/>
      <c r="X158"/>
      <c r="Y158"/>
      <c r="Z158" s="242"/>
      <c r="AA158" s="292"/>
      <c r="AB158" s="124"/>
      <c r="AC158" s="296"/>
      <c r="AD158" s="296"/>
      <c r="AE158" s="296"/>
      <c r="AF158" s="296"/>
      <c r="AG158" s="296"/>
      <c r="AH158" s="296"/>
      <c r="AI158" s="296"/>
      <c r="AJ158" s="296"/>
      <c r="AK158" s="296"/>
      <c r="AL158"/>
      <c r="AM158" s="124"/>
      <c r="AN158"/>
    </row>
    <row r="159" spans="1:40" s="343" customFormat="1" x14ac:dyDescent="0.25">
      <c r="A159" s="259"/>
      <c r="B159" s="241"/>
      <c r="C159" s="403"/>
      <c r="D159" s="403"/>
      <c r="E159" s="295"/>
      <c r="F159" s="607"/>
      <c r="G159"/>
      <c r="H159"/>
      <c r="I159" s="242"/>
      <c r="J159" s="292"/>
      <c r="K159" s="124"/>
      <c r="L159" s="296"/>
      <c r="M159" s="296"/>
      <c r="N159" s="296"/>
      <c r="O159" s="296"/>
      <c r="P159" s="296"/>
      <c r="Q159" s="296"/>
      <c r="R159" s="296"/>
      <c r="S159" s="296"/>
      <c r="T159" s="296"/>
      <c r="U159" s="124"/>
      <c r="V159" s="295"/>
      <c r="W159"/>
      <c r="X159"/>
      <c r="Y159"/>
      <c r="Z159" s="242"/>
      <c r="AA159" s="292"/>
      <c r="AB159" s="124"/>
      <c r="AC159" s="296"/>
      <c r="AD159" s="296"/>
      <c r="AE159" s="296"/>
      <c r="AF159" s="296"/>
      <c r="AG159" s="296"/>
      <c r="AH159" s="296"/>
      <c r="AI159" s="296"/>
      <c r="AJ159" s="296"/>
      <c r="AK159" s="296"/>
      <c r="AL159"/>
      <c r="AM159" s="124"/>
      <c r="AN159"/>
    </row>
    <row r="160" spans="1:40" s="39" customFormat="1" x14ac:dyDescent="0.25">
      <c r="A160" s="259"/>
      <c r="B160" s="241"/>
      <c r="C160" s="403"/>
      <c r="D160" s="403"/>
      <c r="E160" s="295"/>
      <c r="F160" s="607"/>
      <c r="G160"/>
      <c r="H160"/>
      <c r="I160" s="242"/>
      <c r="J160" s="292"/>
      <c r="K160" s="124"/>
      <c r="L160" s="296"/>
      <c r="M160" s="296"/>
      <c r="N160" s="296"/>
      <c r="O160" s="296"/>
      <c r="P160" s="296"/>
      <c r="Q160" s="296"/>
      <c r="R160" s="296"/>
      <c r="S160" s="296"/>
      <c r="T160" s="296"/>
      <c r="U160" s="124"/>
      <c r="V160" s="295"/>
      <c r="W160"/>
      <c r="X160"/>
      <c r="Y160"/>
      <c r="Z160" s="242"/>
      <c r="AA160" s="292"/>
      <c r="AB160" s="124"/>
      <c r="AC160" s="296"/>
      <c r="AD160" s="296"/>
      <c r="AE160" s="296"/>
      <c r="AF160" s="296"/>
      <c r="AG160" s="296"/>
      <c r="AH160" s="296"/>
      <c r="AI160" s="296"/>
      <c r="AJ160" s="296"/>
      <c r="AK160" s="296"/>
      <c r="AL160"/>
      <c r="AM160" s="124"/>
      <c r="AN160"/>
    </row>
    <row r="161" spans="1:40" s="39" customFormat="1" x14ac:dyDescent="0.25">
      <c r="A161" s="259"/>
      <c r="B161" s="241"/>
      <c r="C161" s="403"/>
      <c r="D161" s="403"/>
      <c r="E161" s="295"/>
      <c r="F161" s="607"/>
      <c r="G161"/>
      <c r="H161"/>
      <c r="I161" s="242"/>
      <c r="J161" s="292"/>
      <c r="K161" s="124"/>
      <c r="L161" s="296"/>
      <c r="M161" s="296"/>
      <c r="N161" s="296"/>
      <c r="O161" s="296"/>
      <c r="P161" s="296"/>
      <c r="Q161" s="296"/>
      <c r="R161" s="296"/>
      <c r="S161" s="296"/>
      <c r="T161" s="296"/>
      <c r="U161" s="124"/>
      <c r="V161" s="295"/>
      <c r="W161"/>
      <c r="X161"/>
      <c r="Y161"/>
      <c r="Z161" s="242"/>
      <c r="AA161" s="292"/>
      <c r="AB161" s="124"/>
      <c r="AC161" s="296"/>
      <c r="AD161" s="296"/>
      <c r="AE161" s="296"/>
      <c r="AF161" s="296"/>
      <c r="AG161" s="296"/>
      <c r="AH161" s="296"/>
      <c r="AI161" s="296"/>
      <c r="AJ161" s="296"/>
      <c r="AK161" s="296"/>
      <c r="AL161"/>
      <c r="AM161" s="124"/>
      <c r="AN161"/>
    </row>
    <row r="162" spans="1:40" s="343" customFormat="1" x14ac:dyDescent="0.25">
      <c r="A162" s="259"/>
      <c r="B162" s="241"/>
      <c r="C162" s="403"/>
      <c r="D162" s="403"/>
      <c r="E162" s="295"/>
      <c r="F162" s="607"/>
      <c r="G162"/>
      <c r="H162"/>
      <c r="I162" s="242"/>
      <c r="J162" s="292"/>
      <c r="K162" s="124"/>
      <c r="L162" s="296"/>
      <c r="M162" s="296"/>
      <c r="N162" s="296"/>
      <c r="O162" s="296"/>
      <c r="P162" s="296"/>
      <c r="Q162" s="296"/>
      <c r="R162" s="296"/>
      <c r="S162" s="296"/>
      <c r="T162" s="296"/>
      <c r="U162" s="124"/>
      <c r="V162" s="295"/>
      <c r="W162"/>
      <c r="X162"/>
      <c r="Y162"/>
      <c r="Z162" s="242"/>
      <c r="AA162" s="292"/>
      <c r="AB162" s="124"/>
      <c r="AC162" s="296"/>
      <c r="AD162" s="296"/>
      <c r="AE162" s="296"/>
      <c r="AF162" s="296"/>
      <c r="AG162" s="296"/>
      <c r="AH162" s="296"/>
      <c r="AI162" s="296"/>
      <c r="AJ162" s="296"/>
      <c r="AK162" s="296"/>
      <c r="AL162"/>
      <c r="AM162" s="124"/>
      <c r="AN162"/>
    </row>
    <row r="163" spans="1:40" s="343" customFormat="1" x14ac:dyDescent="0.25">
      <c r="A163" s="259"/>
      <c r="B163" s="241"/>
      <c r="C163" s="403"/>
      <c r="D163" s="403"/>
      <c r="E163" s="295"/>
      <c r="F163" s="607"/>
      <c r="G163"/>
      <c r="H163"/>
      <c r="I163" s="242"/>
      <c r="J163" s="292"/>
      <c r="K163" s="124"/>
      <c r="L163" s="296"/>
      <c r="M163" s="296"/>
      <c r="N163" s="296"/>
      <c r="O163" s="296"/>
      <c r="P163" s="296"/>
      <c r="Q163" s="296"/>
      <c r="R163" s="296"/>
      <c r="S163" s="296"/>
      <c r="T163" s="296"/>
      <c r="U163" s="124"/>
      <c r="V163" s="295"/>
      <c r="W163"/>
      <c r="X163"/>
      <c r="Y163"/>
      <c r="Z163" s="242"/>
      <c r="AA163" s="292"/>
      <c r="AB163" s="124"/>
      <c r="AC163" s="296"/>
      <c r="AD163" s="296"/>
      <c r="AE163" s="296"/>
      <c r="AF163" s="296"/>
      <c r="AG163" s="296"/>
      <c r="AH163" s="296"/>
      <c r="AI163" s="296"/>
      <c r="AJ163" s="296"/>
      <c r="AK163" s="296"/>
      <c r="AL163"/>
      <c r="AM163" s="124"/>
      <c r="AN163"/>
    </row>
    <row r="164" spans="1:40" s="362" customFormat="1" x14ac:dyDescent="0.25">
      <c r="A164" s="259"/>
      <c r="B164" s="241"/>
      <c r="C164" s="403"/>
      <c r="D164" s="403"/>
      <c r="E164" s="295"/>
      <c r="F164" s="607"/>
      <c r="G164"/>
      <c r="H164"/>
      <c r="I164" s="242"/>
      <c r="J164" s="292"/>
      <c r="K164" s="124"/>
      <c r="L164" s="296"/>
      <c r="M164" s="296"/>
      <c r="N164" s="296"/>
      <c r="O164" s="296"/>
      <c r="P164" s="296"/>
      <c r="Q164" s="296"/>
      <c r="R164" s="296"/>
      <c r="S164" s="296"/>
      <c r="T164" s="296"/>
      <c r="U164" s="124"/>
      <c r="V164" s="295"/>
      <c r="W164"/>
      <c r="X164"/>
      <c r="Y164"/>
      <c r="Z164" s="242"/>
      <c r="AA164" s="292"/>
      <c r="AB164" s="124"/>
      <c r="AC164" s="296"/>
      <c r="AD164" s="296"/>
      <c r="AE164" s="296"/>
      <c r="AF164" s="296"/>
      <c r="AG164" s="296"/>
      <c r="AH164" s="296"/>
      <c r="AI164" s="296"/>
      <c r="AJ164" s="296"/>
      <c r="AK164" s="296"/>
      <c r="AL164"/>
      <c r="AM164" s="124"/>
      <c r="AN164"/>
    </row>
    <row r="165" spans="1:40" s="39" customFormat="1" x14ac:dyDescent="0.25">
      <c r="A165" s="259"/>
      <c r="B165" s="241"/>
      <c r="C165" s="403"/>
      <c r="D165" s="403"/>
      <c r="E165" s="295"/>
      <c r="F165" s="607"/>
      <c r="G165"/>
      <c r="H165"/>
      <c r="I165" s="242"/>
      <c r="J165" s="292"/>
      <c r="K165" s="124"/>
      <c r="L165" s="296"/>
      <c r="M165" s="296"/>
      <c r="N165" s="296"/>
      <c r="O165" s="296"/>
      <c r="P165" s="296"/>
      <c r="Q165" s="296"/>
      <c r="R165" s="296"/>
      <c r="S165" s="296"/>
      <c r="T165" s="296"/>
      <c r="U165" s="124"/>
      <c r="V165" s="295"/>
      <c r="W165"/>
      <c r="X165"/>
      <c r="Y165"/>
      <c r="Z165" s="242"/>
      <c r="AA165" s="292"/>
      <c r="AB165" s="124"/>
      <c r="AC165" s="296"/>
      <c r="AD165" s="296"/>
      <c r="AE165" s="296"/>
      <c r="AF165" s="296"/>
      <c r="AG165" s="296"/>
      <c r="AH165" s="296"/>
      <c r="AI165" s="296"/>
      <c r="AJ165" s="296"/>
      <c r="AK165" s="296"/>
      <c r="AL165"/>
      <c r="AM165" s="124"/>
      <c r="AN165"/>
    </row>
    <row r="166" spans="1:40" s="30" customFormat="1" x14ac:dyDescent="0.25">
      <c r="A166" s="259"/>
      <c r="B166" s="241"/>
      <c r="C166" s="403"/>
      <c r="D166" s="403"/>
      <c r="E166" s="295"/>
      <c r="F166" s="607"/>
      <c r="G166"/>
      <c r="H166"/>
      <c r="I166" s="242"/>
      <c r="J166" s="292"/>
      <c r="K166" s="124"/>
      <c r="L166" s="296"/>
      <c r="M166" s="296"/>
      <c r="N166" s="296"/>
      <c r="O166" s="296"/>
      <c r="P166" s="296"/>
      <c r="Q166" s="296"/>
      <c r="R166" s="296"/>
      <c r="S166" s="296"/>
      <c r="T166" s="296"/>
      <c r="U166" s="124"/>
      <c r="V166" s="295"/>
      <c r="W166"/>
      <c r="X166"/>
      <c r="Y166"/>
      <c r="Z166" s="242"/>
      <c r="AA166" s="292"/>
      <c r="AB166" s="124"/>
      <c r="AC166" s="296"/>
      <c r="AD166" s="296"/>
      <c r="AE166" s="296"/>
      <c r="AF166" s="296"/>
      <c r="AG166" s="296"/>
      <c r="AH166" s="296"/>
      <c r="AI166" s="296"/>
      <c r="AJ166" s="296"/>
      <c r="AK166" s="296"/>
      <c r="AL166"/>
      <c r="AM166" s="124"/>
      <c r="AN166"/>
    </row>
    <row r="167" spans="1:40" s="30" customFormat="1" x14ac:dyDescent="0.25">
      <c r="A167" s="259"/>
      <c r="B167" s="241"/>
      <c r="C167" s="403"/>
      <c r="D167" s="403"/>
      <c r="E167" s="295"/>
      <c r="F167" s="607"/>
      <c r="G167"/>
      <c r="H167"/>
      <c r="I167" s="242"/>
      <c r="J167" s="292"/>
      <c r="K167" s="124"/>
      <c r="L167" s="296"/>
      <c r="M167" s="296"/>
      <c r="N167" s="296"/>
      <c r="O167" s="296"/>
      <c r="P167" s="296"/>
      <c r="Q167" s="296"/>
      <c r="R167" s="296"/>
      <c r="S167" s="296"/>
      <c r="T167" s="296"/>
      <c r="U167" s="124"/>
      <c r="V167" s="295"/>
      <c r="W167"/>
      <c r="X167"/>
      <c r="Y167"/>
      <c r="Z167" s="242"/>
      <c r="AA167" s="292"/>
      <c r="AB167" s="124"/>
      <c r="AC167" s="296"/>
      <c r="AD167" s="296"/>
      <c r="AE167" s="296"/>
      <c r="AF167" s="296"/>
      <c r="AG167" s="296"/>
      <c r="AH167" s="296"/>
      <c r="AI167" s="296"/>
      <c r="AJ167" s="296"/>
      <c r="AK167" s="296"/>
      <c r="AL167"/>
      <c r="AM167" s="124"/>
      <c r="AN167"/>
    </row>
    <row r="168" spans="1:40" s="30" customFormat="1" x14ac:dyDescent="0.25">
      <c r="A168" s="259"/>
      <c r="B168" s="241"/>
      <c r="C168" s="403"/>
      <c r="D168" s="403"/>
      <c r="E168" s="295"/>
      <c r="F168" s="607"/>
      <c r="G168"/>
      <c r="H168"/>
      <c r="I168" s="242"/>
      <c r="J168" s="292"/>
      <c r="K168" s="124"/>
      <c r="L168" s="296"/>
      <c r="M168" s="296"/>
      <c r="N168" s="296"/>
      <c r="O168" s="296"/>
      <c r="P168" s="296"/>
      <c r="Q168" s="296"/>
      <c r="R168" s="296"/>
      <c r="S168" s="296"/>
      <c r="T168" s="296"/>
      <c r="U168" s="124"/>
      <c r="V168" s="295"/>
      <c r="W168"/>
      <c r="X168"/>
      <c r="Y168"/>
      <c r="Z168" s="242"/>
      <c r="AA168" s="292"/>
      <c r="AB168" s="124"/>
      <c r="AC168" s="296"/>
      <c r="AD168" s="296"/>
      <c r="AE168" s="296"/>
      <c r="AF168" s="296"/>
      <c r="AG168" s="296"/>
      <c r="AH168" s="296"/>
      <c r="AI168" s="296"/>
      <c r="AJ168" s="296"/>
      <c r="AK168" s="296"/>
      <c r="AL168"/>
      <c r="AM168" s="124"/>
      <c r="AN168"/>
    </row>
    <row r="169" spans="1:40" s="30" customFormat="1" x14ac:dyDescent="0.25">
      <c r="A169" s="259"/>
      <c r="B169" s="241"/>
      <c r="C169" s="403"/>
      <c r="D169" s="403"/>
      <c r="E169" s="295"/>
      <c r="F169" s="607"/>
      <c r="G169"/>
      <c r="H169"/>
      <c r="I169" s="242"/>
      <c r="J169" s="292"/>
      <c r="K169" s="124"/>
      <c r="L169" s="296"/>
      <c r="M169" s="296"/>
      <c r="N169" s="296"/>
      <c r="O169" s="296"/>
      <c r="P169" s="296"/>
      <c r="Q169" s="296"/>
      <c r="R169" s="296"/>
      <c r="S169" s="296"/>
      <c r="T169" s="296"/>
      <c r="U169" s="124"/>
      <c r="V169" s="295"/>
      <c r="W169"/>
      <c r="X169"/>
      <c r="Y169"/>
      <c r="Z169" s="242"/>
      <c r="AA169" s="292"/>
      <c r="AB169" s="124"/>
      <c r="AC169" s="296"/>
      <c r="AD169" s="296"/>
      <c r="AE169" s="296"/>
      <c r="AF169" s="296"/>
      <c r="AG169" s="296"/>
      <c r="AH169" s="296"/>
      <c r="AI169" s="296"/>
      <c r="AJ169" s="296"/>
      <c r="AK169" s="296"/>
      <c r="AL169"/>
      <c r="AM169" s="124"/>
      <c r="AN169"/>
    </row>
    <row r="170" spans="1:40" s="30" customFormat="1" x14ac:dyDescent="0.25">
      <c r="A170" s="259"/>
      <c r="B170" s="241"/>
      <c r="C170" s="403"/>
      <c r="D170" s="403"/>
      <c r="E170" s="295"/>
      <c r="F170" s="607"/>
      <c r="G170"/>
      <c r="H170"/>
      <c r="I170" s="242"/>
      <c r="J170" s="292"/>
      <c r="K170" s="124"/>
      <c r="L170" s="296"/>
      <c r="M170" s="296"/>
      <c r="N170" s="296"/>
      <c r="O170" s="296"/>
      <c r="P170" s="296"/>
      <c r="Q170" s="296"/>
      <c r="R170" s="296"/>
      <c r="S170" s="296"/>
      <c r="T170" s="296"/>
      <c r="U170" s="124"/>
      <c r="V170" s="295"/>
      <c r="W170"/>
      <c r="X170"/>
      <c r="Y170"/>
      <c r="Z170" s="242"/>
      <c r="AA170" s="292"/>
      <c r="AB170" s="124"/>
      <c r="AC170" s="296"/>
      <c r="AD170" s="296"/>
      <c r="AE170" s="296"/>
      <c r="AF170" s="296"/>
      <c r="AG170" s="296"/>
      <c r="AH170" s="296"/>
      <c r="AI170" s="296"/>
      <c r="AJ170" s="296"/>
      <c r="AK170" s="296"/>
      <c r="AL170"/>
      <c r="AM170" s="124"/>
      <c r="AN170"/>
    </row>
    <row r="171" spans="1:40" s="39" customFormat="1" x14ac:dyDescent="0.25">
      <c r="A171" s="259"/>
      <c r="B171" s="241"/>
      <c r="C171" s="403"/>
      <c r="D171" s="403"/>
      <c r="E171" s="295"/>
      <c r="F171" s="607"/>
      <c r="G171"/>
      <c r="H171"/>
      <c r="I171" s="242"/>
      <c r="J171" s="292"/>
      <c r="K171" s="124"/>
      <c r="L171" s="296"/>
      <c r="M171" s="296"/>
      <c r="N171" s="296"/>
      <c r="O171" s="296"/>
      <c r="P171" s="296"/>
      <c r="Q171" s="296"/>
      <c r="R171" s="296"/>
      <c r="S171" s="296"/>
      <c r="T171" s="296"/>
      <c r="U171" s="124"/>
      <c r="V171" s="295"/>
      <c r="W171"/>
      <c r="X171"/>
      <c r="Y171"/>
      <c r="Z171" s="242"/>
      <c r="AA171" s="292"/>
      <c r="AB171" s="124"/>
      <c r="AC171" s="296"/>
      <c r="AD171" s="296"/>
      <c r="AE171" s="296"/>
      <c r="AF171" s="296"/>
      <c r="AG171" s="296"/>
      <c r="AH171" s="296"/>
      <c r="AI171" s="296"/>
      <c r="AJ171" s="296"/>
      <c r="AK171" s="296"/>
      <c r="AL171"/>
      <c r="AM171" s="124"/>
      <c r="AN171"/>
    </row>
    <row r="172" spans="1:40" s="30" customFormat="1" x14ac:dyDescent="0.25">
      <c r="A172" s="259"/>
      <c r="B172" s="241"/>
      <c r="C172" s="403"/>
      <c r="D172" s="403"/>
      <c r="E172" s="295"/>
      <c r="F172" s="607"/>
      <c r="G172"/>
      <c r="H172"/>
      <c r="I172" s="242"/>
      <c r="J172" s="292"/>
      <c r="K172" s="124"/>
      <c r="L172" s="296"/>
      <c r="M172" s="296"/>
      <c r="N172" s="296"/>
      <c r="O172" s="296"/>
      <c r="P172" s="296"/>
      <c r="Q172" s="296"/>
      <c r="R172" s="296"/>
      <c r="S172" s="296"/>
      <c r="T172" s="296"/>
      <c r="U172" s="124"/>
      <c r="V172" s="295"/>
      <c r="W172"/>
      <c r="X172"/>
      <c r="Y172"/>
      <c r="Z172" s="242"/>
      <c r="AA172" s="292"/>
      <c r="AB172" s="124"/>
      <c r="AC172" s="296"/>
      <c r="AD172" s="296"/>
      <c r="AE172" s="296"/>
      <c r="AF172" s="296"/>
      <c r="AG172" s="296"/>
      <c r="AH172" s="296"/>
      <c r="AI172" s="296"/>
      <c r="AJ172" s="296"/>
      <c r="AK172" s="296"/>
      <c r="AL172"/>
      <c r="AM172" s="124"/>
      <c r="AN172"/>
    </row>
    <row r="173" spans="1:40" s="30" customFormat="1" x14ac:dyDescent="0.25">
      <c r="A173" s="259"/>
      <c r="B173" s="241"/>
      <c r="C173" s="403"/>
      <c r="D173" s="403"/>
      <c r="E173" s="295"/>
      <c r="F173" s="607"/>
      <c r="G173"/>
      <c r="H173"/>
      <c r="I173" s="242"/>
      <c r="J173" s="292"/>
      <c r="K173" s="124"/>
      <c r="L173" s="296"/>
      <c r="M173" s="296"/>
      <c r="N173" s="296"/>
      <c r="O173" s="296"/>
      <c r="P173" s="296"/>
      <c r="Q173" s="296"/>
      <c r="R173" s="296"/>
      <c r="S173" s="296"/>
      <c r="T173" s="296"/>
      <c r="U173" s="124"/>
      <c r="V173" s="295"/>
      <c r="W173"/>
      <c r="X173"/>
      <c r="Y173"/>
      <c r="Z173" s="242"/>
      <c r="AA173" s="292"/>
      <c r="AB173" s="124"/>
      <c r="AC173" s="296"/>
      <c r="AD173" s="296"/>
      <c r="AE173" s="296"/>
      <c r="AF173" s="296"/>
      <c r="AG173" s="296"/>
      <c r="AH173" s="296"/>
      <c r="AI173" s="296"/>
      <c r="AJ173" s="296"/>
      <c r="AK173" s="296"/>
      <c r="AL173"/>
      <c r="AM173" s="124"/>
      <c r="AN173"/>
    </row>
    <row r="174" spans="1:40" s="30" customFormat="1" x14ac:dyDescent="0.25">
      <c r="A174" s="259"/>
      <c r="B174" s="241"/>
      <c r="C174" s="403"/>
      <c r="D174" s="403"/>
      <c r="E174" s="295"/>
      <c r="F174" s="607"/>
      <c r="G174"/>
      <c r="H174"/>
      <c r="I174" s="242"/>
      <c r="J174" s="292"/>
      <c r="K174" s="124"/>
      <c r="L174" s="296"/>
      <c r="M174" s="296"/>
      <c r="N174" s="296"/>
      <c r="O174" s="296"/>
      <c r="P174" s="296"/>
      <c r="Q174" s="296"/>
      <c r="R174" s="296"/>
      <c r="S174" s="296"/>
      <c r="T174" s="296"/>
      <c r="U174" s="124"/>
      <c r="V174" s="295"/>
      <c r="W174"/>
      <c r="X174"/>
      <c r="Y174"/>
      <c r="Z174" s="242"/>
      <c r="AA174" s="292"/>
      <c r="AB174" s="124"/>
      <c r="AC174" s="296"/>
      <c r="AD174" s="296"/>
      <c r="AE174" s="296"/>
      <c r="AF174" s="296"/>
      <c r="AG174" s="296"/>
      <c r="AH174" s="296"/>
      <c r="AI174" s="296"/>
      <c r="AJ174" s="296"/>
      <c r="AK174" s="296"/>
      <c r="AL174"/>
      <c r="AM174" s="124"/>
      <c r="AN174"/>
    </row>
    <row r="175" spans="1:40" s="30" customFormat="1" x14ac:dyDescent="0.25">
      <c r="A175" s="259"/>
      <c r="B175" s="241"/>
      <c r="C175" s="403"/>
      <c r="D175" s="403"/>
      <c r="E175" s="295"/>
      <c r="F175" s="607"/>
      <c r="G175"/>
      <c r="H175"/>
      <c r="I175" s="242"/>
      <c r="J175" s="292"/>
      <c r="K175" s="124"/>
      <c r="L175" s="296"/>
      <c r="M175" s="296"/>
      <c r="N175" s="296"/>
      <c r="O175" s="296"/>
      <c r="P175" s="296"/>
      <c r="Q175" s="296"/>
      <c r="R175" s="296"/>
      <c r="S175" s="296"/>
      <c r="T175" s="296"/>
      <c r="U175" s="124"/>
      <c r="V175" s="295"/>
      <c r="W175"/>
      <c r="X175"/>
      <c r="Y175"/>
      <c r="Z175" s="242"/>
      <c r="AA175" s="292"/>
      <c r="AB175" s="124"/>
      <c r="AC175" s="296"/>
      <c r="AD175" s="296"/>
      <c r="AE175" s="296"/>
      <c r="AF175" s="296"/>
      <c r="AG175" s="296"/>
      <c r="AH175" s="296"/>
      <c r="AI175" s="296"/>
      <c r="AJ175" s="296"/>
      <c r="AK175" s="296"/>
      <c r="AL175"/>
      <c r="AM175" s="124"/>
      <c r="AN175"/>
    </row>
    <row r="176" spans="1:40" s="30" customFormat="1" x14ac:dyDescent="0.25">
      <c r="A176" s="259"/>
      <c r="B176" s="241"/>
      <c r="C176" s="403"/>
      <c r="D176" s="403"/>
      <c r="E176" s="295"/>
      <c r="F176" s="607"/>
      <c r="G176"/>
      <c r="H176"/>
      <c r="I176" s="242"/>
      <c r="J176" s="292"/>
      <c r="K176" s="124"/>
      <c r="L176" s="296"/>
      <c r="M176" s="296"/>
      <c r="N176" s="296"/>
      <c r="O176" s="296"/>
      <c r="P176" s="296"/>
      <c r="Q176" s="296"/>
      <c r="R176" s="296"/>
      <c r="S176" s="296"/>
      <c r="T176" s="296"/>
      <c r="U176" s="124"/>
      <c r="V176" s="295"/>
      <c r="W176"/>
      <c r="X176"/>
      <c r="Y176"/>
      <c r="Z176" s="242"/>
      <c r="AA176" s="292"/>
      <c r="AB176" s="124"/>
      <c r="AC176" s="296"/>
      <c r="AD176" s="296"/>
      <c r="AE176" s="296"/>
      <c r="AF176" s="296"/>
      <c r="AG176" s="296"/>
      <c r="AH176" s="296"/>
      <c r="AI176" s="296"/>
      <c r="AJ176" s="296"/>
      <c r="AK176" s="296"/>
      <c r="AL176"/>
      <c r="AM176" s="124"/>
      <c r="AN176"/>
    </row>
    <row r="177" spans="1:40" s="30" customFormat="1" x14ac:dyDescent="0.25">
      <c r="A177" s="259"/>
      <c r="B177" s="241"/>
      <c r="C177" s="403"/>
      <c r="D177" s="403"/>
      <c r="E177" s="295"/>
      <c r="F177" s="607"/>
      <c r="G177"/>
      <c r="H177"/>
      <c r="I177" s="242"/>
      <c r="J177" s="292"/>
      <c r="K177" s="124"/>
      <c r="L177" s="296"/>
      <c r="M177" s="296"/>
      <c r="N177" s="296"/>
      <c r="O177" s="296"/>
      <c r="P177" s="296"/>
      <c r="Q177" s="296"/>
      <c r="R177" s="296"/>
      <c r="S177" s="296"/>
      <c r="T177" s="296"/>
      <c r="U177" s="124"/>
      <c r="V177" s="295"/>
      <c r="W177"/>
      <c r="X177"/>
      <c r="Y177"/>
      <c r="Z177" s="242"/>
      <c r="AA177" s="292"/>
      <c r="AB177" s="124"/>
      <c r="AC177" s="296"/>
      <c r="AD177" s="296"/>
      <c r="AE177" s="296"/>
      <c r="AF177" s="296"/>
      <c r="AG177" s="296"/>
      <c r="AH177" s="296"/>
      <c r="AI177" s="296"/>
      <c r="AJ177" s="296"/>
      <c r="AK177" s="296"/>
      <c r="AL177"/>
      <c r="AM177" s="124"/>
      <c r="AN177"/>
    </row>
    <row r="178" spans="1:40" s="30" customFormat="1" x14ac:dyDescent="0.25">
      <c r="A178" s="259"/>
      <c r="B178" s="241"/>
      <c r="C178" s="403"/>
      <c r="D178" s="403"/>
      <c r="E178" s="295"/>
      <c r="F178" s="607"/>
      <c r="G178"/>
      <c r="H178"/>
      <c r="I178" s="242"/>
      <c r="J178" s="292"/>
      <c r="K178" s="124"/>
      <c r="L178" s="296"/>
      <c r="M178" s="296"/>
      <c r="N178" s="296"/>
      <c r="O178" s="296"/>
      <c r="P178" s="296"/>
      <c r="Q178" s="296"/>
      <c r="R178" s="296"/>
      <c r="S178" s="296"/>
      <c r="T178" s="296"/>
      <c r="U178" s="124"/>
      <c r="V178" s="295"/>
      <c r="W178"/>
      <c r="X178"/>
      <c r="Y178"/>
      <c r="Z178" s="242"/>
      <c r="AA178" s="292"/>
      <c r="AB178" s="124"/>
      <c r="AC178" s="296"/>
      <c r="AD178" s="296"/>
      <c r="AE178" s="296"/>
      <c r="AF178" s="296"/>
      <c r="AG178" s="296"/>
      <c r="AH178" s="296"/>
      <c r="AI178" s="296"/>
      <c r="AJ178" s="296"/>
      <c r="AK178" s="296"/>
      <c r="AL178"/>
      <c r="AM178" s="124"/>
      <c r="AN178"/>
    </row>
    <row r="179" spans="1:40" s="30" customFormat="1" x14ac:dyDescent="0.25">
      <c r="A179" s="259"/>
      <c r="B179" s="241"/>
      <c r="C179" s="403"/>
      <c r="D179" s="403"/>
      <c r="E179" s="295"/>
      <c r="F179" s="607"/>
      <c r="G179"/>
      <c r="H179"/>
      <c r="I179" s="242"/>
      <c r="J179" s="292"/>
      <c r="K179" s="124"/>
      <c r="L179" s="296"/>
      <c r="M179" s="296"/>
      <c r="N179" s="296"/>
      <c r="O179" s="296"/>
      <c r="P179" s="296"/>
      <c r="Q179" s="296"/>
      <c r="R179" s="296"/>
      <c r="S179" s="296"/>
      <c r="T179" s="296"/>
      <c r="U179" s="124"/>
      <c r="V179" s="295"/>
      <c r="W179"/>
      <c r="X179"/>
      <c r="Y179"/>
      <c r="Z179" s="242"/>
      <c r="AA179" s="292"/>
      <c r="AB179" s="124"/>
      <c r="AC179" s="296"/>
      <c r="AD179" s="296"/>
      <c r="AE179" s="296"/>
      <c r="AF179" s="296"/>
      <c r="AG179" s="296"/>
      <c r="AH179" s="296"/>
      <c r="AI179" s="296"/>
      <c r="AJ179" s="296"/>
      <c r="AK179" s="296"/>
      <c r="AL179"/>
      <c r="AM179" s="124"/>
      <c r="AN179"/>
    </row>
    <row r="180" spans="1:40" s="30" customFormat="1" x14ac:dyDescent="0.25">
      <c r="A180" s="259"/>
      <c r="B180" s="241"/>
      <c r="C180" s="403"/>
      <c r="D180" s="403"/>
      <c r="E180" s="295"/>
      <c r="F180" s="607"/>
      <c r="G180"/>
      <c r="H180"/>
      <c r="I180" s="242"/>
      <c r="J180" s="292"/>
      <c r="K180" s="124"/>
      <c r="L180" s="296"/>
      <c r="M180" s="296"/>
      <c r="N180" s="296"/>
      <c r="O180" s="296"/>
      <c r="P180" s="296"/>
      <c r="Q180" s="296"/>
      <c r="R180" s="296"/>
      <c r="S180" s="296"/>
      <c r="T180" s="296"/>
      <c r="U180" s="124"/>
      <c r="V180" s="295"/>
      <c r="W180"/>
      <c r="X180"/>
      <c r="Y180"/>
      <c r="Z180" s="242"/>
      <c r="AA180" s="292"/>
      <c r="AB180" s="124"/>
      <c r="AC180" s="296"/>
      <c r="AD180" s="296"/>
      <c r="AE180" s="296"/>
      <c r="AF180" s="296"/>
      <c r="AG180" s="296"/>
      <c r="AH180" s="296"/>
      <c r="AI180" s="296"/>
      <c r="AJ180" s="296"/>
      <c r="AK180" s="296"/>
      <c r="AL180"/>
      <c r="AM180" s="124"/>
      <c r="AN180"/>
    </row>
    <row r="181" spans="1:40" s="30" customFormat="1" x14ac:dyDescent="0.25">
      <c r="A181" s="259"/>
      <c r="B181" s="241"/>
      <c r="C181" s="403"/>
      <c r="D181" s="403"/>
      <c r="E181" s="295"/>
      <c r="F181" s="607"/>
      <c r="G181"/>
      <c r="H181"/>
      <c r="I181" s="242"/>
      <c r="J181" s="292"/>
      <c r="K181" s="124"/>
      <c r="L181" s="296"/>
      <c r="M181" s="296"/>
      <c r="N181" s="296"/>
      <c r="O181" s="296"/>
      <c r="P181" s="296"/>
      <c r="Q181" s="296"/>
      <c r="R181" s="296"/>
      <c r="S181" s="296"/>
      <c r="T181" s="296"/>
      <c r="U181" s="124"/>
      <c r="V181" s="295"/>
      <c r="W181"/>
      <c r="X181"/>
      <c r="Y181"/>
      <c r="Z181" s="242"/>
      <c r="AA181" s="292"/>
      <c r="AB181" s="124"/>
      <c r="AC181" s="296"/>
      <c r="AD181" s="296"/>
      <c r="AE181" s="296"/>
      <c r="AF181" s="296"/>
      <c r="AG181" s="296"/>
      <c r="AH181" s="296"/>
      <c r="AI181" s="296"/>
      <c r="AJ181" s="296"/>
      <c r="AK181" s="296"/>
      <c r="AL181"/>
      <c r="AM181" s="124"/>
      <c r="AN181"/>
    </row>
    <row r="182" spans="1:40" s="30" customFormat="1" x14ac:dyDescent="0.25">
      <c r="A182" s="259"/>
      <c r="B182" s="241"/>
      <c r="C182" s="403"/>
      <c r="D182" s="403"/>
      <c r="E182" s="295"/>
      <c r="F182" s="607"/>
      <c r="G182"/>
      <c r="H182"/>
      <c r="I182" s="242"/>
      <c r="J182" s="292"/>
      <c r="K182" s="124"/>
      <c r="L182" s="296"/>
      <c r="M182" s="296"/>
      <c r="N182" s="296"/>
      <c r="O182" s="296"/>
      <c r="P182" s="296"/>
      <c r="Q182" s="296"/>
      <c r="R182" s="296"/>
      <c r="S182" s="296"/>
      <c r="T182" s="296"/>
      <c r="U182" s="124"/>
      <c r="V182" s="295"/>
      <c r="W182"/>
      <c r="X182"/>
      <c r="Y182"/>
      <c r="Z182" s="242"/>
      <c r="AA182" s="292"/>
      <c r="AB182" s="124"/>
      <c r="AC182" s="296"/>
      <c r="AD182" s="296"/>
      <c r="AE182" s="296"/>
      <c r="AF182" s="296"/>
      <c r="AG182" s="296"/>
      <c r="AH182" s="296"/>
      <c r="AI182" s="296"/>
      <c r="AJ182" s="296"/>
      <c r="AK182" s="296"/>
      <c r="AL182"/>
      <c r="AM182" s="124"/>
      <c r="AN182"/>
    </row>
    <row r="183" spans="1:40" s="30" customFormat="1" x14ac:dyDescent="0.25">
      <c r="A183" s="259"/>
      <c r="B183" s="241"/>
      <c r="C183" s="403"/>
      <c r="D183" s="403"/>
      <c r="E183" s="295"/>
      <c r="F183" s="607"/>
      <c r="G183"/>
      <c r="H183"/>
      <c r="I183" s="242"/>
      <c r="J183" s="292"/>
      <c r="K183" s="124"/>
      <c r="L183" s="296"/>
      <c r="M183" s="296"/>
      <c r="N183" s="296"/>
      <c r="O183" s="296"/>
      <c r="P183" s="296"/>
      <c r="Q183" s="296"/>
      <c r="R183" s="296"/>
      <c r="S183" s="296"/>
      <c r="T183" s="296"/>
      <c r="U183" s="124"/>
      <c r="V183" s="295"/>
      <c r="W183"/>
      <c r="X183"/>
      <c r="Y183"/>
      <c r="Z183" s="242"/>
      <c r="AA183" s="292"/>
      <c r="AB183" s="124"/>
      <c r="AC183" s="296"/>
      <c r="AD183" s="296"/>
      <c r="AE183" s="296"/>
      <c r="AF183" s="296"/>
      <c r="AG183" s="296"/>
      <c r="AH183" s="296"/>
      <c r="AI183" s="296"/>
      <c r="AJ183" s="296"/>
      <c r="AK183" s="296"/>
      <c r="AL183"/>
      <c r="AM183" s="124"/>
      <c r="AN183"/>
    </row>
    <row r="184" spans="1:40" s="30" customFormat="1" x14ac:dyDescent="0.25">
      <c r="A184" s="259"/>
      <c r="B184" s="241"/>
      <c r="C184" s="403"/>
      <c r="D184" s="403"/>
      <c r="E184" s="295"/>
      <c r="F184" s="607"/>
      <c r="G184"/>
      <c r="H184"/>
      <c r="I184" s="242"/>
      <c r="J184" s="292"/>
      <c r="K184" s="124"/>
      <c r="L184" s="296"/>
      <c r="M184" s="296"/>
      <c r="N184" s="296"/>
      <c r="O184" s="296"/>
      <c r="P184" s="296"/>
      <c r="Q184" s="296"/>
      <c r="R184" s="296"/>
      <c r="S184" s="296"/>
      <c r="T184" s="296"/>
      <c r="U184" s="124"/>
      <c r="V184" s="295"/>
      <c r="W184"/>
      <c r="X184"/>
      <c r="Y184"/>
      <c r="Z184" s="242"/>
      <c r="AA184" s="292"/>
      <c r="AB184" s="124"/>
      <c r="AC184" s="296"/>
      <c r="AD184" s="296"/>
      <c r="AE184" s="296"/>
      <c r="AF184" s="296"/>
      <c r="AG184" s="296"/>
      <c r="AH184" s="296"/>
      <c r="AI184" s="296"/>
      <c r="AJ184" s="296"/>
      <c r="AK184" s="296"/>
      <c r="AL184"/>
      <c r="AM184" s="124"/>
      <c r="AN184"/>
    </row>
    <row r="185" spans="1:40" s="30" customFormat="1" x14ac:dyDescent="0.25">
      <c r="A185" s="259"/>
      <c r="B185" s="241"/>
      <c r="C185" s="403"/>
      <c r="D185" s="403"/>
      <c r="E185" s="295"/>
      <c r="F185" s="607"/>
      <c r="G185"/>
      <c r="H185"/>
      <c r="I185" s="242"/>
      <c r="J185" s="292"/>
      <c r="K185" s="124"/>
      <c r="L185" s="296"/>
      <c r="M185" s="296"/>
      <c r="N185" s="296"/>
      <c r="O185" s="296"/>
      <c r="P185" s="296"/>
      <c r="Q185" s="296"/>
      <c r="R185" s="296"/>
      <c r="S185" s="296"/>
      <c r="T185" s="296"/>
      <c r="U185" s="124"/>
      <c r="V185" s="295"/>
      <c r="W185"/>
      <c r="X185"/>
      <c r="Y185"/>
      <c r="Z185" s="242"/>
      <c r="AA185" s="292"/>
      <c r="AB185" s="124"/>
      <c r="AC185" s="296"/>
      <c r="AD185" s="296"/>
      <c r="AE185" s="296"/>
      <c r="AF185" s="296"/>
      <c r="AG185" s="296"/>
      <c r="AH185" s="296"/>
      <c r="AI185" s="296"/>
      <c r="AJ185" s="296"/>
      <c r="AK185" s="296"/>
      <c r="AL185"/>
      <c r="AM185" s="124"/>
      <c r="AN185"/>
    </row>
    <row r="186" spans="1:40" s="30" customFormat="1" x14ac:dyDescent="0.25">
      <c r="A186" s="259"/>
      <c r="B186" s="241"/>
      <c r="C186" s="403"/>
      <c r="D186" s="403"/>
      <c r="E186" s="295"/>
      <c r="F186" s="607"/>
      <c r="G186"/>
      <c r="H186"/>
      <c r="I186" s="242"/>
      <c r="J186" s="292"/>
      <c r="K186" s="124"/>
      <c r="L186" s="296"/>
      <c r="M186" s="296"/>
      <c r="N186" s="296"/>
      <c r="O186" s="296"/>
      <c r="P186" s="296"/>
      <c r="Q186" s="296"/>
      <c r="R186" s="296"/>
      <c r="S186" s="296"/>
      <c r="T186" s="296"/>
      <c r="U186" s="124"/>
      <c r="V186" s="295"/>
      <c r="W186"/>
      <c r="X186"/>
      <c r="Y186"/>
      <c r="Z186" s="242"/>
      <c r="AA186" s="292"/>
      <c r="AB186" s="124"/>
      <c r="AC186" s="296"/>
      <c r="AD186" s="296"/>
      <c r="AE186" s="296"/>
      <c r="AF186" s="296"/>
      <c r="AG186" s="296"/>
      <c r="AH186" s="296"/>
      <c r="AI186" s="296"/>
      <c r="AJ186" s="296"/>
      <c r="AK186" s="296"/>
      <c r="AL186"/>
      <c r="AM186" s="124"/>
      <c r="AN186"/>
    </row>
    <row r="187" spans="1:40" s="30" customFormat="1" x14ac:dyDescent="0.25">
      <c r="A187" s="259"/>
      <c r="B187" s="241"/>
      <c r="C187" s="403"/>
      <c r="D187" s="403"/>
      <c r="E187" s="295"/>
      <c r="F187" s="607"/>
      <c r="G187"/>
      <c r="H187"/>
      <c r="I187" s="242"/>
      <c r="J187" s="292"/>
      <c r="K187" s="124"/>
      <c r="L187" s="296"/>
      <c r="M187" s="296"/>
      <c r="N187" s="296"/>
      <c r="O187" s="296"/>
      <c r="P187" s="296"/>
      <c r="Q187" s="296"/>
      <c r="R187" s="296"/>
      <c r="S187" s="296"/>
      <c r="T187" s="296"/>
      <c r="U187" s="124"/>
      <c r="V187" s="295"/>
      <c r="W187"/>
      <c r="X187"/>
      <c r="Y187"/>
      <c r="Z187" s="242"/>
      <c r="AA187" s="292"/>
      <c r="AB187" s="124"/>
      <c r="AC187" s="296"/>
      <c r="AD187" s="296"/>
      <c r="AE187" s="296"/>
      <c r="AF187" s="296"/>
      <c r="AG187" s="296"/>
      <c r="AH187" s="296"/>
      <c r="AI187" s="296"/>
      <c r="AJ187" s="296"/>
      <c r="AK187" s="296"/>
      <c r="AL187"/>
      <c r="AM187" s="124"/>
      <c r="AN187"/>
    </row>
    <row r="188" spans="1:40" s="30" customFormat="1" x14ac:dyDescent="0.25">
      <c r="A188" s="259"/>
      <c r="B188" s="241"/>
      <c r="C188" s="403"/>
      <c r="D188" s="403"/>
      <c r="E188" s="295"/>
      <c r="F188" s="607"/>
      <c r="G188"/>
      <c r="H188"/>
      <c r="I188" s="242"/>
      <c r="J188" s="292"/>
      <c r="K188" s="124"/>
      <c r="L188" s="296"/>
      <c r="M188" s="296"/>
      <c r="N188" s="296"/>
      <c r="O188" s="296"/>
      <c r="P188" s="296"/>
      <c r="Q188" s="296"/>
      <c r="R188" s="296"/>
      <c r="S188" s="296"/>
      <c r="T188" s="296"/>
      <c r="U188" s="124"/>
      <c r="V188" s="295"/>
      <c r="W188"/>
      <c r="X188"/>
      <c r="Y188"/>
      <c r="Z188" s="242"/>
      <c r="AA188" s="292"/>
      <c r="AB188" s="124"/>
      <c r="AC188" s="296"/>
      <c r="AD188" s="296"/>
      <c r="AE188" s="296"/>
      <c r="AF188" s="296"/>
      <c r="AG188" s="296"/>
      <c r="AH188" s="296"/>
      <c r="AI188" s="296"/>
      <c r="AJ188" s="296"/>
      <c r="AK188" s="296"/>
      <c r="AL188"/>
      <c r="AM188" s="124"/>
      <c r="AN188"/>
    </row>
    <row r="189" spans="1:40" s="30" customFormat="1" x14ac:dyDescent="0.25">
      <c r="A189" s="259"/>
      <c r="B189" s="241"/>
      <c r="C189" s="403"/>
      <c r="D189" s="403"/>
      <c r="E189" s="295"/>
      <c r="F189" s="607"/>
      <c r="G189"/>
      <c r="H189"/>
      <c r="I189" s="242"/>
      <c r="J189" s="292"/>
      <c r="K189" s="124"/>
      <c r="L189" s="296"/>
      <c r="M189" s="296"/>
      <c r="N189" s="296"/>
      <c r="O189" s="296"/>
      <c r="P189" s="296"/>
      <c r="Q189" s="296"/>
      <c r="R189" s="296"/>
      <c r="S189" s="296"/>
      <c r="T189" s="296"/>
      <c r="U189" s="124"/>
      <c r="V189" s="295"/>
      <c r="W189"/>
      <c r="X189"/>
      <c r="Y189"/>
      <c r="Z189" s="242"/>
      <c r="AA189" s="292"/>
      <c r="AB189" s="124"/>
      <c r="AC189" s="296"/>
      <c r="AD189" s="296"/>
      <c r="AE189" s="296"/>
      <c r="AF189" s="296"/>
      <c r="AG189" s="296"/>
      <c r="AH189" s="296"/>
      <c r="AI189" s="296"/>
      <c r="AJ189" s="296"/>
      <c r="AK189" s="296"/>
      <c r="AL189"/>
      <c r="AM189" s="124"/>
      <c r="AN189"/>
    </row>
    <row r="190" spans="1:40" s="30" customFormat="1" x14ac:dyDescent="0.25">
      <c r="A190" s="259"/>
      <c r="B190" s="241"/>
      <c r="C190" s="403"/>
      <c r="D190" s="403"/>
      <c r="E190" s="295"/>
      <c r="F190" s="607"/>
      <c r="G190"/>
      <c r="H190"/>
      <c r="I190" s="242"/>
      <c r="J190" s="292"/>
      <c r="K190" s="124"/>
      <c r="L190" s="296"/>
      <c r="M190" s="296"/>
      <c r="N190" s="296"/>
      <c r="O190" s="296"/>
      <c r="P190" s="296"/>
      <c r="Q190" s="296"/>
      <c r="R190" s="296"/>
      <c r="S190" s="296"/>
      <c r="T190" s="296"/>
      <c r="U190" s="124"/>
      <c r="V190" s="295"/>
      <c r="W190"/>
      <c r="X190"/>
      <c r="Y190"/>
      <c r="Z190" s="242"/>
      <c r="AA190" s="292"/>
      <c r="AB190" s="124"/>
      <c r="AC190" s="296"/>
      <c r="AD190" s="296"/>
      <c r="AE190" s="296"/>
      <c r="AF190" s="296"/>
      <c r="AG190" s="296"/>
      <c r="AH190" s="296"/>
      <c r="AI190" s="296"/>
      <c r="AJ190" s="296"/>
      <c r="AK190" s="296"/>
      <c r="AL190"/>
      <c r="AM190" s="124"/>
      <c r="AN190"/>
    </row>
    <row r="191" spans="1:40" s="30" customFormat="1" x14ac:dyDescent="0.25">
      <c r="A191" s="259"/>
      <c r="B191" s="241"/>
      <c r="C191" s="403"/>
      <c r="D191" s="403"/>
      <c r="E191" s="295"/>
      <c r="F191" s="607"/>
      <c r="G191"/>
      <c r="H191"/>
      <c r="I191" s="242"/>
      <c r="J191" s="292"/>
      <c r="K191" s="124"/>
      <c r="L191" s="296"/>
      <c r="M191" s="296"/>
      <c r="N191" s="296"/>
      <c r="O191" s="296"/>
      <c r="P191" s="296"/>
      <c r="Q191" s="296"/>
      <c r="R191" s="296"/>
      <c r="S191" s="296"/>
      <c r="T191" s="296"/>
      <c r="U191" s="124"/>
      <c r="V191" s="295"/>
      <c r="W191"/>
      <c r="X191"/>
      <c r="Y191"/>
      <c r="Z191" s="242"/>
      <c r="AA191" s="292"/>
      <c r="AB191" s="124"/>
      <c r="AC191" s="296"/>
      <c r="AD191" s="296"/>
      <c r="AE191" s="296"/>
      <c r="AF191" s="296"/>
      <c r="AG191" s="296"/>
      <c r="AH191" s="296"/>
      <c r="AI191" s="296"/>
      <c r="AJ191" s="296"/>
      <c r="AK191" s="296"/>
      <c r="AL191"/>
      <c r="AM191" s="124"/>
      <c r="AN191"/>
    </row>
    <row r="192" spans="1:40" s="30" customFormat="1" x14ac:dyDescent="0.25">
      <c r="A192" s="259"/>
      <c r="B192" s="241"/>
      <c r="C192" s="403"/>
      <c r="D192" s="403"/>
      <c r="E192" s="295"/>
      <c r="F192" s="607"/>
      <c r="G192"/>
      <c r="H192"/>
      <c r="I192" s="242"/>
      <c r="J192" s="292"/>
      <c r="K192" s="124"/>
      <c r="L192" s="296"/>
      <c r="M192" s="296"/>
      <c r="N192" s="296"/>
      <c r="O192" s="296"/>
      <c r="P192" s="296"/>
      <c r="Q192" s="296"/>
      <c r="R192" s="296"/>
      <c r="S192" s="296"/>
      <c r="T192" s="296"/>
      <c r="U192" s="124"/>
      <c r="V192" s="295"/>
      <c r="W192"/>
      <c r="X192"/>
      <c r="Y192"/>
      <c r="Z192" s="242"/>
      <c r="AA192" s="292"/>
      <c r="AB192" s="124"/>
      <c r="AC192" s="296"/>
      <c r="AD192" s="296"/>
      <c r="AE192" s="296"/>
      <c r="AF192" s="296"/>
      <c r="AG192" s="296"/>
      <c r="AH192" s="296"/>
      <c r="AI192" s="296"/>
      <c r="AJ192" s="296"/>
      <c r="AK192" s="296"/>
      <c r="AL192"/>
      <c r="AM192" s="124"/>
      <c r="AN192"/>
    </row>
    <row r="193" spans="1:40" s="30" customFormat="1" x14ac:dyDescent="0.25">
      <c r="A193" s="259"/>
      <c r="B193" s="241"/>
      <c r="C193" s="403"/>
      <c r="D193" s="403"/>
      <c r="E193" s="295"/>
      <c r="F193" s="607"/>
      <c r="G193"/>
      <c r="H193"/>
      <c r="I193" s="242"/>
      <c r="J193" s="292"/>
      <c r="K193" s="124"/>
      <c r="L193" s="296"/>
      <c r="M193" s="296"/>
      <c r="N193" s="296"/>
      <c r="O193" s="296"/>
      <c r="P193" s="296"/>
      <c r="Q193" s="296"/>
      <c r="R193" s="296"/>
      <c r="S193" s="296"/>
      <c r="T193" s="296"/>
      <c r="U193" s="124"/>
      <c r="V193" s="295"/>
      <c r="W193"/>
      <c r="X193"/>
      <c r="Y193"/>
      <c r="Z193" s="242"/>
      <c r="AA193" s="292"/>
      <c r="AB193" s="124"/>
      <c r="AC193" s="296"/>
      <c r="AD193" s="296"/>
      <c r="AE193" s="296"/>
      <c r="AF193" s="296"/>
      <c r="AG193" s="296"/>
      <c r="AH193" s="296"/>
      <c r="AI193" s="296"/>
      <c r="AJ193" s="296"/>
      <c r="AK193" s="296"/>
      <c r="AL193"/>
      <c r="AM193" s="124"/>
      <c r="AN193"/>
    </row>
    <row r="194" spans="1:40" s="123" customFormat="1" x14ac:dyDescent="0.25">
      <c r="A194" s="259"/>
      <c r="B194" s="241"/>
      <c r="C194" s="403"/>
      <c r="D194" s="403"/>
      <c r="E194" s="295"/>
      <c r="F194" s="607"/>
      <c r="G194"/>
      <c r="H194"/>
      <c r="I194" s="242"/>
      <c r="J194" s="292"/>
      <c r="K194" s="124"/>
      <c r="L194" s="296"/>
      <c r="M194" s="296"/>
      <c r="N194" s="296"/>
      <c r="O194" s="296"/>
      <c r="P194" s="296"/>
      <c r="Q194" s="296"/>
      <c r="R194" s="296"/>
      <c r="S194" s="296"/>
      <c r="T194" s="296"/>
      <c r="U194" s="124"/>
      <c r="V194" s="295"/>
      <c r="W194"/>
      <c r="X194"/>
      <c r="Y194"/>
      <c r="Z194" s="242"/>
      <c r="AA194" s="292"/>
      <c r="AB194" s="124"/>
      <c r="AC194" s="296"/>
      <c r="AD194" s="296"/>
      <c r="AE194" s="296"/>
      <c r="AF194" s="296"/>
      <c r="AG194" s="296"/>
      <c r="AH194" s="296"/>
      <c r="AI194" s="296"/>
      <c r="AJ194" s="296"/>
      <c r="AK194" s="296"/>
      <c r="AL194"/>
      <c r="AM194" s="124"/>
      <c r="AN194"/>
    </row>
    <row r="195" spans="1:40" s="123" customFormat="1" x14ac:dyDescent="0.25">
      <c r="A195" s="259"/>
      <c r="B195" s="241"/>
      <c r="C195" s="403"/>
      <c r="D195" s="403"/>
      <c r="E195" s="295"/>
      <c r="F195" s="607"/>
      <c r="G195"/>
      <c r="H195"/>
      <c r="I195" s="242"/>
      <c r="J195" s="292"/>
      <c r="K195" s="124"/>
      <c r="L195" s="296"/>
      <c r="M195" s="296"/>
      <c r="N195" s="296"/>
      <c r="O195" s="296"/>
      <c r="P195" s="296"/>
      <c r="Q195" s="296"/>
      <c r="R195" s="296"/>
      <c r="S195" s="296"/>
      <c r="T195" s="296"/>
      <c r="U195" s="124"/>
      <c r="V195" s="295"/>
      <c r="W195"/>
      <c r="X195"/>
      <c r="Y195"/>
      <c r="Z195" s="242"/>
      <c r="AA195" s="292"/>
      <c r="AB195" s="124"/>
      <c r="AC195" s="296"/>
      <c r="AD195" s="296"/>
      <c r="AE195" s="296"/>
      <c r="AF195" s="296"/>
      <c r="AG195" s="296"/>
      <c r="AH195" s="296"/>
      <c r="AI195" s="296"/>
      <c r="AJ195" s="296"/>
      <c r="AK195" s="296"/>
      <c r="AL195"/>
      <c r="AM195" s="124"/>
      <c r="AN195"/>
    </row>
    <row r="196" spans="1:40" s="405" customFormat="1" ht="15.75" customHeight="1" x14ac:dyDescent="0.25">
      <c r="A196" s="259"/>
      <c r="B196" s="241"/>
      <c r="C196" s="403"/>
      <c r="D196" s="403"/>
      <c r="E196" s="295"/>
      <c r="F196" s="607"/>
      <c r="G196"/>
      <c r="H196"/>
      <c r="I196" s="242"/>
      <c r="J196" s="292"/>
      <c r="K196" s="124"/>
      <c r="L196" s="296"/>
      <c r="M196" s="296"/>
      <c r="N196" s="296"/>
      <c r="O196" s="296"/>
      <c r="P196" s="296"/>
      <c r="Q196" s="296"/>
      <c r="R196" s="296"/>
      <c r="S196" s="296"/>
      <c r="T196" s="296"/>
      <c r="U196" s="124"/>
      <c r="V196" s="295"/>
      <c r="W196"/>
      <c r="X196"/>
      <c r="Y196"/>
      <c r="Z196" s="242"/>
      <c r="AA196" s="292"/>
      <c r="AB196" s="124"/>
      <c r="AC196" s="296"/>
      <c r="AD196" s="296"/>
      <c r="AE196" s="296"/>
      <c r="AF196" s="296"/>
      <c r="AG196" s="296"/>
      <c r="AH196" s="296"/>
      <c r="AI196" s="296"/>
      <c r="AJ196" s="296"/>
      <c r="AK196" s="296"/>
      <c r="AL196"/>
      <c r="AM196" s="124"/>
      <c r="AN196"/>
    </row>
    <row r="197" spans="1:40" s="30" customFormat="1" x14ac:dyDescent="0.25">
      <c r="A197" s="259"/>
      <c r="B197" s="241"/>
      <c r="C197" s="403"/>
      <c r="D197" s="403"/>
      <c r="E197" s="295"/>
      <c r="F197" s="607"/>
      <c r="G197"/>
      <c r="H197"/>
      <c r="I197" s="242"/>
      <c r="J197" s="292"/>
      <c r="K197" s="124"/>
      <c r="L197" s="296"/>
      <c r="M197" s="296"/>
      <c r="N197" s="296"/>
      <c r="O197" s="296"/>
      <c r="P197" s="296"/>
      <c r="Q197" s="296"/>
      <c r="R197" s="296"/>
      <c r="S197" s="296"/>
      <c r="T197" s="296"/>
      <c r="U197" s="124"/>
      <c r="V197" s="295"/>
      <c r="W197"/>
      <c r="X197"/>
      <c r="Y197"/>
      <c r="Z197" s="242"/>
      <c r="AA197" s="292"/>
      <c r="AB197" s="124"/>
      <c r="AC197" s="296"/>
      <c r="AD197" s="296"/>
      <c r="AE197" s="296"/>
      <c r="AF197" s="296"/>
      <c r="AG197" s="296"/>
      <c r="AH197" s="296"/>
      <c r="AI197" s="296"/>
      <c r="AJ197" s="296"/>
      <c r="AK197" s="296"/>
      <c r="AL197"/>
      <c r="AM197" s="124"/>
      <c r="AN197"/>
    </row>
    <row r="198" spans="1:40" s="30" customFormat="1" x14ac:dyDescent="0.25">
      <c r="A198" s="259"/>
      <c r="B198" s="241"/>
      <c r="C198" s="403"/>
      <c r="D198" s="403"/>
      <c r="E198" s="295"/>
      <c r="F198" s="607"/>
      <c r="G198"/>
      <c r="H198"/>
      <c r="I198" s="242"/>
      <c r="J198" s="292"/>
      <c r="K198" s="124"/>
      <c r="L198" s="296"/>
      <c r="M198" s="296"/>
      <c r="N198" s="296"/>
      <c r="O198" s="296"/>
      <c r="P198" s="296"/>
      <c r="Q198" s="296"/>
      <c r="R198" s="296"/>
      <c r="S198" s="296"/>
      <c r="T198" s="296"/>
      <c r="U198" s="124"/>
      <c r="V198" s="295"/>
      <c r="W198"/>
      <c r="X198"/>
      <c r="Y198"/>
      <c r="Z198" s="242"/>
      <c r="AA198" s="292"/>
      <c r="AB198" s="124"/>
      <c r="AC198" s="296"/>
      <c r="AD198" s="296"/>
      <c r="AE198" s="296"/>
      <c r="AF198" s="296"/>
      <c r="AG198" s="296"/>
      <c r="AH198" s="296"/>
      <c r="AI198" s="296"/>
      <c r="AJ198" s="296"/>
      <c r="AK198" s="296"/>
      <c r="AL198"/>
      <c r="AM198" s="124"/>
      <c r="AN198"/>
    </row>
    <row r="211" spans="1:40" s="6" customFormat="1" x14ac:dyDescent="0.25">
      <c r="A211" s="259"/>
      <c r="B211" s="241"/>
      <c r="C211" s="403"/>
      <c r="D211" s="403"/>
      <c r="E211" s="295"/>
      <c r="F211" s="607"/>
      <c r="G211"/>
      <c r="H211"/>
      <c r="I211" s="242"/>
      <c r="J211" s="292"/>
      <c r="K211" s="124"/>
      <c r="L211" s="296"/>
      <c r="M211" s="296"/>
      <c r="N211" s="296"/>
      <c r="O211" s="296"/>
      <c r="P211" s="296"/>
      <c r="Q211" s="296"/>
      <c r="R211" s="296"/>
      <c r="S211" s="296"/>
      <c r="T211" s="296"/>
      <c r="U211" s="124"/>
      <c r="V211" s="295"/>
      <c r="W211"/>
      <c r="X211"/>
      <c r="Y211"/>
      <c r="Z211" s="242"/>
      <c r="AA211" s="292"/>
      <c r="AB211" s="124"/>
      <c r="AC211" s="296"/>
      <c r="AD211" s="296"/>
      <c r="AE211" s="296"/>
      <c r="AF211" s="296"/>
      <c r="AG211" s="296"/>
      <c r="AH211" s="296"/>
      <c r="AI211" s="296"/>
      <c r="AJ211" s="296"/>
      <c r="AK211" s="296"/>
      <c r="AL211"/>
      <c r="AM211" s="124"/>
      <c r="AN211"/>
    </row>
    <row r="212" spans="1:40" s="6" customFormat="1" x14ac:dyDescent="0.25">
      <c r="A212" s="259"/>
      <c r="B212" s="241"/>
      <c r="C212" s="403"/>
      <c r="D212" s="403"/>
      <c r="E212" s="295"/>
      <c r="F212" s="607"/>
      <c r="G212"/>
      <c r="H212"/>
      <c r="I212" s="242"/>
      <c r="J212" s="292"/>
      <c r="K212" s="124"/>
      <c r="L212" s="296"/>
      <c r="M212" s="296"/>
      <c r="N212" s="296"/>
      <c r="O212" s="296"/>
      <c r="P212" s="296"/>
      <c r="Q212" s="296"/>
      <c r="R212" s="296"/>
      <c r="S212" s="296"/>
      <c r="T212" s="296"/>
      <c r="U212" s="124"/>
      <c r="V212" s="295"/>
      <c r="W212"/>
      <c r="X212"/>
      <c r="Y212"/>
      <c r="Z212" s="242"/>
      <c r="AA212" s="292"/>
      <c r="AB212" s="124"/>
      <c r="AC212" s="296"/>
      <c r="AD212" s="296"/>
      <c r="AE212" s="296"/>
      <c r="AF212" s="296"/>
      <c r="AG212" s="296"/>
      <c r="AH212" s="296"/>
      <c r="AI212" s="296"/>
      <c r="AJ212" s="296"/>
      <c r="AK212" s="296"/>
      <c r="AL212"/>
      <c r="AM212" s="124"/>
      <c r="AN212"/>
    </row>
    <row r="229" spans="1:40" s="6" customFormat="1" x14ac:dyDescent="0.25">
      <c r="A229" s="259"/>
      <c r="B229" s="241"/>
      <c r="C229" s="403"/>
      <c r="D229" s="403"/>
      <c r="E229" s="295"/>
      <c r="F229" s="607"/>
      <c r="G229"/>
      <c r="H229"/>
      <c r="I229" s="242"/>
      <c r="J229" s="292"/>
      <c r="K229" s="124"/>
      <c r="L229" s="296"/>
      <c r="M229" s="296"/>
      <c r="N229" s="296"/>
      <c r="O229" s="296"/>
      <c r="P229" s="296"/>
      <c r="Q229" s="296"/>
      <c r="R229" s="296"/>
      <c r="S229" s="296"/>
      <c r="T229" s="296"/>
      <c r="U229" s="124"/>
      <c r="V229" s="295"/>
      <c r="W229"/>
      <c r="X229"/>
      <c r="Y229"/>
      <c r="Z229" s="242"/>
      <c r="AA229" s="292"/>
      <c r="AB229" s="124"/>
      <c r="AC229" s="296"/>
      <c r="AD229" s="296"/>
      <c r="AE229" s="296"/>
      <c r="AF229" s="296"/>
      <c r="AG229" s="296"/>
      <c r="AH229" s="296"/>
      <c r="AI229" s="296"/>
      <c r="AJ229" s="296"/>
      <c r="AK229" s="296"/>
      <c r="AL229"/>
      <c r="AM229" s="124"/>
      <c r="AN229"/>
    </row>
  </sheetData>
  <mergeCells count="40">
    <mergeCell ref="A4:A5"/>
    <mergeCell ref="B4:B5"/>
    <mergeCell ref="V1:AK1"/>
    <mergeCell ref="AG4:AG5"/>
    <mergeCell ref="AA4:AA5"/>
    <mergeCell ref="AB4:AB5"/>
    <mergeCell ref="W4:W5"/>
    <mergeCell ref="V4:V5"/>
    <mergeCell ref="V2:AB3"/>
    <mergeCell ref="E4:E5"/>
    <mergeCell ref="F4:F5"/>
    <mergeCell ref="G4:G5"/>
    <mergeCell ref="H4:H5"/>
    <mergeCell ref="I4:I5"/>
    <mergeCell ref="J4:J5"/>
    <mergeCell ref="K4:K5"/>
    <mergeCell ref="M4:M5"/>
    <mergeCell ref="P4:P5"/>
    <mergeCell ref="Q4:Q5"/>
    <mergeCell ref="E2:K3"/>
    <mergeCell ref="L2:T3"/>
    <mergeCell ref="S4:S5"/>
    <mergeCell ref="AC2:AK3"/>
    <mergeCell ref="AI4:AI5"/>
    <mergeCell ref="AJ4:AJ5"/>
    <mergeCell ref="AD4:AD5"/>
    <mergeCell ref="T4:T5"/>
    <mergeCell ref="L4:L5"/>
    <mergeCell ref="O4:O5"/>
    <mergeCell ref="N4:N5"/>
    <mergeCell ref="R4:R5"/>
    <mergeCell ref="AN4:AN5"/>
    <mergeCell ref="AF4:AF5"/>
    <mergeCell ref="AE4:AE5"/>
    <mergeCell ref="AC4:AC5"/>
    <mergeCell ref="X4:X5"/>
    <mergeCell ref="AH4:AH5"/>
    <mergeCell ref="AK4:AK5"/>
    <mergeCell ref="Y4:Y5"/>
    <mergeCell ref="Z4:Z5"/>
  </mergeCells>
  <pageMargins left="0.7" right="0.7" top="0.75" bottom="0.75" header="0.3" footer="0.3"/>
  <pageSetup scale="2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opLeftCell="A97" workbookViewId="0">
      <selection activeCell="G3" sqref="G3:G115"/>
    </sheetView>
  </sheetViews>
  <sheetFormatPr defaultRowHeight="15" x14ac:dyDescent="0.25"/>
  <cols>
    <col min="1" max="1" width="11.5703125" customWidth="1"/>
    <col min="2" max="2" width="64.5703125" customWidth="1"/>
    <col min="3" max="3" width="16.140625" style="104" bestFit="1" customWidth="1"/>
    <col min="4" max="4" width="11.42578125" style="104" customWidth="1"/>
    <col min="5" max="5" width="6.5703125" customWidth="1"/>
    <col min="6" max="6" width="10.28515625" style="18" customWidth="1"/>
    <col min="7" max="7" width="14.85546875" style="18" customWidth="1"/>
    <col min="8" max="8" width="16.140625" customWidth="1"/>
    <col min="9" max="9" width="14.5703125" bestFit="1" customWidth="1"/>
    <col min="10" max="10" width="10.5703125" bestFit="1" customWidth="1"/>
  </cols>
  <sheetData>
    <row r="1" spans="1:18" s="20" customFormat="1" ht="31.5" x14ac:dyDescent="0.25">
      <c r="A1" s="68" t="s">
        <v>69</v>
      </c>
      <c r="B1" s="69" t="s">
        <v>41</v>
      </c>
      <c r="C1" s="70" t="s">
        <v>72</v>
      </c>
      <c r="D1" s="281" t="s">
        <v>65</v>
      </c>
      <c r="E1" s="127" t="s">
        <v>42</v>
      </c>
      <c r="F1" s="128" t="s">
        <v>45</v>
      </c>
      <c r="G1" s="73" t="s">
        <v>75</v>
      </c>
      <c r="H1" s="69" t="s">
        <v>67</v>
      </c>
      <c r="I1" s="71" t="s">
        <v>66</v>
      </c>
    </row>
    <row r="2" spans="1:18" ht="15.95" customHeight="1" x14ac:dyDescent="0.25">
      <c r="A2" s="47" t="s">
        <v>73</v>
      </c>
      <c r="B2" s="48"/>
      <c r="C2" s="49"/>
      <c r="D2" s="49"/>
      <c r="E2" s="48"/>
      <c r="F2" s="74"/>
      <c r="G2" s="74"/>
      <c r="H2" s="48"/>
      <c r="I2" s="59"/>
    </row>
    <row r="3" spans="1:18" s="6" customFormat="1" ht="15.95" customHeight="1" x14ac:dyDescent="0.25">
      <c r="A3" s="60" t="s">
        <v>171</v>
      </c>
      <c r="B3" s="57" t="s">
        <v>203</v>
      </c>
      <c r="C3" s="61" t="s">
        <v>204</v>
      </c>
      <c r="D3" s="102" t="s">
        <v>205</v>
      </c>
      <c r="E3" s="57">
        <v>30</v>
      </c>
      <c r="F3" s="53">
        <v>338</v>
      </c>
      <c r="G3" s="75">
        <f t="shared" ref="G3:G14" si="0">E3*F3</f>
        <v>10140</v>
      </c>
      <c r="H3" s="57" t="s">
        <v>68</v>
      </c>
      <c r="I3" s="58" t="s">
        <v>206</v>
      </c>
      <c r="J3" s="19"/>
      <c r="K3" s="19"/>
      <c r="L3" s="19"/>
      <c r="M3" s="19"/>
      <c r="N3" s="19"/>
      <c r="O3" s="19"/>
      <c r="P3" s="19"/>
      <c r="Q3" s="19"/>
      <c r="R3" s="19"/>
    </row>
    <row r="4" spans="1:18" s="141" customFormat="1" ht="15.95" customHeight="1" x14ac:dyDescent="0.15">
      <c r="A4" s="513" t="s">
        <v>142</v>
      </c>
      <c r="B4" s="508" t="s">
        <v>207</v>
      </c>
      <c r="C4" s="506" t="s">
        <v>209</v>
      </c>
      <c r="D4" s="507" t="s">
        <v>205</v>
      </c>
      <c r="E4" s="508">
        <v>30</v>
      </c>
      <c r="F4" s="509">
        <v>1136</v>
      </c>
      <c r="G4" s="509">
        <f t="shared" si="0"/>
        <v>34080</v>
      </c>
      <c r="H4" s="508" t="s">
        <v>68</v>
      </c>
      <c r="I4" s="510" t="s">
        <v>210</v>
      </c>
      <c r="J4" s="142"/>
      <c r="K4" s="142"/>
      <c r="L4" s="142"/>
      <c r="M4" s="142"/>
      <c r="N4" s="142"/>
      <c r="O4" s="142"/>
      <c r="P4" s="142"/>
      <c r="Q4" s="142"/>
      <c r="R4" s="142"/>
    </row>
    <row r="5" spans="1:18" s="141" customFormat="1" ht="15.95" customHeight="1" x14ac:dyDescent="0.15">
      <c r="A5" s="513" t="s">
        <v>142</v>
      </c>
      <c r="B5" s="508" t="s">
        <v>207</v>
      </c>
      <c r="C5" s="506" t="s">
        <v>208</v>
      </c>
      <c r="D5" s="507" t="s">
        <v>205</v>
      </c>
      <c r="E5" s="508">
        <v>30</v>
      </c>
      <c r="F5" s="509">
        <v>1944</v>
      </c>
      <c r="G5" s="509">
        <f t="shared" si="0"/>
        <v>58320</v>
      </c>
      <c r="H5" s="508" t="s">
        <v>68</v>
      </c>
      <c r="I5" s="510" t="s">
        <v>179</v>
      </c>
      <c r="J5" s="142"/>
      <c r="K5" s="142"/>
      <c r="L5" s="142"/>
      <c r="M5" s="142"/>
      <c r="N5" s="142"/>
      <c r="O5" s="142"/>
      <c r="P5" s="142"/>
      <c r="Q5" s="142"/>
      <c r="R5" s="142"/>
    </row>
    <row r="6" spans="1:18" s="141" customFormat="1" ht="15.95" customHeight="1" x14ac:dyDescent="0.15">
      <c r="A6" s="513" t="s">
        <v>142</v>
      </c>
      <c r="B6" s="508" t="s">
        <v>207</v>
      </c>
      <c r="C6" s="506" t="s">
        <v>209</v>
      </c>
      <c r="D6" s="507" t="s">
        <v>205</v>
      </c>
      <c r="E6" s="508">
        <v>30</v>
      </c>
      <c r="F6" s="509">
        <v>0</v>
      </c>
      <c r="G6" s="509">
        <f t="shared" si="0"/>
        <v>0</v>
      </c>
      <c r="H6" s="508" t="s">
        <v>68</v>
      </c>
      <c r="I6" s="510" t="s">
        <v>211</v>
      </c>
      <c r="J6" s="142"/>
      <c r="K6" s="142"/>
      <c r="L6" s="142"/>
      <c r="M6" s="142"/>
      <c r="N6" s="142"/>
      <c r="O6" s="142"/>
      <c r="P6" s="142"/>
      <c r="Q6" s="142"/>
      <c r="R6" s="142"/>
    </row>
    <row r="7" spans="1:18" s="6" customFormat="1" ht="15.95" customHeight="1" x14ac:dyDescent="0.25">
      <c r="A7" s="513" t="s">
        <v>142</v>
      </c>
      <c r="B7" s="508" t="s">
        <v>207</v>
      </c>
      <c r="C7" s="506" t="s">
        <v>208</v>
      </c>
      <c r="D7" s="507" t="s">
        <v>205</v>
      </c>
      <c r="E7" s="508">
        <v>30</v>
      </c>
      <c r="F7" s="509">
        <v>0</v>
      </c>
      <c r="G7" s="509">
        <f t="shared" si="0"/>
        <v>0</v>
      </c>
      <c r="H7" s="508" t="s">
        <v>68</v>
      </c>
      <c r="I7" s="510" t="s">
        <v>212</v>
      </c>
      <c r="J7" s="19"/>
      <c r="K7" s="19"/>
      <c r="L7" s="19"/>
      <c r="M7" s="19"/>
      <c r="N7" s="19"/>
      <c r="O7" s="19"/>
      <c r="P7" s="19"/>
      <c r="Q7" s="19"/>
      <c r="R7" s="19"/>
    </row>
    <row r="8" spans="1:18" s="141" customFormat="1" ht="15.95" customHeight="1" x14ac:dyDescent="0.15">
      <c r="A8" s="143">
        <v>10570060</v>
      </c>
      <c r="B8" s="65" t="s">
        <v>356</v>
      </c>
      <c r="C8" s="66" t="s">
        <v>215</v>
      </c>
      <c r="D8" s="72" t="s">
        <v>205</v>
      </c>
      <c r="E8" s="65">
        <v>30</v>
      </c>
      <c r="F8" s="55">
        <v>917</v>
      </c>
      <c r="G8" s="55">
        <f t="shared" si="0"/>
        <v>27510</v>
      </c>
      <c r="H8" s="65" t="s">
        <v>68</v>
      </c>
      <c r="I8" s="58" t="s">
        <v>219</v>
      </c>
      <c r="J8" s="142"/>
      <c r="K8" s="142"/>
      <c r="L8" s="142"/>
      <c r="M8" s="142"/>
      <c r="N8" s="142"/>
      <c r="O8" s="142"/>
      <c r="P8" s="142"/>
      <c r="Q8" s="142"/>
      <c r="R8" s="142"/>
    </row>
    <row r="9" spans="1:18" s="141" customFormat="1" ht="15.95" customHeight="1" x14ac:dyDescent="0.15">
      <c r="A9" s="143">
        <v>10570060</v>
      </c>
      <c r="B9" s="65" t="s">
        <v>356</v>
      </c>
      <c r="C9" s="66" t="s">
        <v>213</v>
      </c>
      <c r="D9" s="72" t="s">
        <v>214</v>
      </c>
      <c r="E9" s="65">
        <v>30</v>
      </c>
      <c r="F9" s="55">
        <v>0</v>
      </c>
      <c r="G9" s="55">
        <f t="shared" si="0"/>
        <v>0</v>
      </c>
      <c r="H9" s="65" t="s">
        <v>68</v>
      </c>
      <c r="I9" s="58" t="s">
        <v>220</v>
      </c>
      <c r="J9" s="142"/>
      <c r="K9" s="142"/>
      <c r="L9" s="142"/>
      <c r="M9" s="142"/>
      <c r="N9" s="142"/>
      <c r="O9" s="142"/>
      <c r="P9" s="142"/>
      <c r="Q9" s="142"/>
      <c r="R9" s="142"/>
    </row>
    <row r="10" spans="1:18" s="141" customFormat="1" ht="15.95" customHeight="1" x14ac:dyDescent="0.15">
      <c r="A10" s="143">
        <v>10570060</v>
      </c>
      <c r="B10" s="65" t="s">
        <v>356</v>
      </c>
      <c r="C10" s="66" t="s">
        <v>215</v>
      </c>
      <c r="D10" s="72" t="s">
        <v>205</v>
      </c>
      <c r="E10" s="65">
        <v>30</v>
      </c>
      <c r="F10" s="55">
        <v>0</v>
      </c>
      <c r="G10" s="55">
        <f t="shared" si="0"/>
        <v>0</v>
      </c>
      <c r="H10" s="65" t="s">
        <v>68</v>
      </c>
      <c r="I10" s="58" t="s">
        <v>181</v>
      </c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18" s="141" customFormat="1" ht="15.95" customHeight="1" x14ac:dyDescent="0.15">
      <c r="A11" s="143">
        <v>10570060</v>
      </c>
      <c r="B11" s="65" t="s">
        <v>356</v>
      </c>
      <c r="C11" s="66" t="s">
        <v>216</v>
      </c>
      <c r="D11" s="72" t="s">
        <v>205</v>
      </c>
      <c r="E11" s="65">
        <v>30</v>
      </c>
      <c r="F11" s="55">
        <v>0</v>
      </c>
      <c r="G11" s="55">
        <f t="shared" si="0"/>
        <v>0</v>
      </c>
      <c r="H11" s="65" t="s">
        <v>68</v>
      </c>
      <c r="I11" s="58" t="s">
        <v>221</v>
      </c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s="141" customFormat="1" ht="15.95" customHeight="1" x14ac:dyDescent="0.15">
      <c r="A12" s="143">
        <v>10570060</v>
      </c>
      <c r="B12" s="65" t="s">
        <v>356</v>
      </c>
      <c r="C12" s="66" t="s">
        <v>217</v>
      </c>
      <c r="D12" s="72" t="s">
        <v>205</v>
      </c>
      <c r="E12" s="65">
        <v>30</v>
      </c>
      <c r="F12" s="55">
        <v>0</v>
      </c>
      <c r="G12" s="55">
        <f t="shared" si="0"/>
        <v>0</v>
      </c>
      <c r="H12" s="65" t="s">
        <v>68</v>
      </c>
      <c r="I12" s="58" t="s">
        <v>180</v>
      </c>
      <c r="J12" s="142"/>
      <c r="K12" s="142"/>
      <c r="L12" s="142"/>
      <c r="M12" s="142"/>
      <c r="N12" s="142"/>
      <c r="O12" s="142"/>
      <c r="P12" s="142"/>
      <c r="Q12" s="142"/>
      <c r="R12" s="142"/>
    </row>
    <row r="13" spans="1:18" s="141" customFormat="1" ht="15.95" customHeight="1" x14ac:dyDescent="0.15">
      <c r="A13" s="143">
        <v>10570060</v>
      </c>
      <c r="B13" s="65" t="s">
        <v>356</v>
      </c>
      <c r="C13" s="66" t="s">
        <v>218</v>
      </c>
      <c r="D13" s="72" t="s">
        <v>205</v>
      </c>
      <c r="E13" s="65">
        <v>30</v>
      </c>
      <c r="F13" s="55">
        <v>0</v>
      </c>
      <c r="G13" s="55">
        <f t="shared" si="0"/>
        <v>0</v>
      </c>
      <c r="H13" s="65" t="s">
        <v>68</v>
      </c>
      <c r="I13" s="58" t="s">
        <v>222</v>
      </c>
      <c r="J13" s="142"/>
      <c r="K13" s="142"/>
      <c r="L13" s="142"/>
      <c r="M13" s="142"/>
      <c r="N13" s="142"/>
      <c r="O13" s="142"/>
      <c r="P13" s="142"/>
      <c r="Q13" s="142"/>
      <c r="R13" s="142"/>
    </row>
    <row r="14" spans="1:18" s="6" customFormat="1" ht="15.95" customHeight="1" x14ac:dyDescent="0.25">
      <c r="A14" s="282" t="s">
        <v>144</v>
      </c>
      <c r="B14" s="62" t="s">
        <v>145</v>
      </c>
      <c r="C14" s="63">
        <v>101695</v>
      </c>
      <c r="D14" s="103" t="s">
        <v>182</v>
      </c>
      <c r="E14" s="62">
        <v>25</v>
      </c>
      <c r="F14" s="53">
        <v>0</v>
      </c>
      <c r="G14" s="53">
        <f t="shared" si="0"/>
        <v>0</v>
      </c>
      <c r="H14" s="62" t="s">
        <v>68</v>
      </c>
      <c r="I14" s="58" t="s">
        <v>178</v>
      </c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5.95" customHeight="1" x14ac:dyDescent="0.25">
      <c r="A15" s="514"/>
      <c r="B15" s="515"/>
      <c r="C15" s="515"/>
      <c r="D15" s="515"/>
      <c r="E15" s="515"/>
      <c r="F15" s="516"/>
      <c r="G15" s="516"/>
      <c r="H15" s="515"/>
      <c r="I15" s="517"/>
      <c r="J15" s="80"/>
      <c r="K15" s="80"/>
      <c r="L15" s="80"/>
      <c r="M15" s="80"/>
      <c r="N15" s="80"/>
      <c r="O15" s="80"/>
      <c r="P15" s="80"/>
      <c r="Q15" s="80"/>
      <c r="R15" s="80"/>
    </row>
    <row r="16" spans="1:18" s="6" customFormat="1" ht="15.95" customHeight="1" x14ac:dyDescent="0.25">
      <c r="A16" s="518" t="s">
        <v>76</v>
      </c>
      <c r="B16" s="519"/>
      <c r="C16" s="520"/>
      <c r="D16" s="520"/>
      <c r="E16" s="519"/>
      <c r="F16" s="521"/>
      <c r="G16" s="521"/>
      <c r="H16" s="519"/>
      <c r="I16" s="519"/>
      <c r="J16" s="19"/>
      <c r="K16" s="19"/>
      <c r="L16" s="19"/>
      <c r="M16" s="19"/>
      <c r="N16" s="19"/>
      <c r="O16" s="19"/>
      <c r="P16" s="19"/>
      <c r="Q16" s="19"/>
      <c r="R16" s="19"/>
    </row>
    <row r="17" spans="1:18" s="6" customFormat="1" ht="15.95" customHeight="1" x14ac:dyDescent="0.25">
      <c r="A17" s="525" t="s">
        <v>171</v>
      </c>
      <c r="B17" s="62" t="s">
        <v>120</v>
      </c>
      <c r="C17" s="63" t="s">
        <v>367</v>
      </c>
      <c r="D17" s="103" t="s">
        <v>259</v>
      </c>
      <c r="E17" s="62">
        <v>30</v>
      </c>
      <c r="F17" s="53">
        <v>120</v>
      </c>
      <c r="G17" s="53">
        <f t="shared" ref="G17:G30" si="1">E17*F17</f>
        <v>3600</v>
      </c>
      <c r="H17" s="62" t="s">
        <v>74</v>
      </c>
      <c r="I17" s="82" t="s">
        <v>25</v>
      </c>
      <c r="J17" s="19"/>
      <c r="K17" s="19"/>
      <c r="L17" s="19"/>
      <c r="M17" s="19"/>
      <c r="N17" s="19"/>
      <c r="O17" s="19"/>
      <c r="P17" s="19"/>
      <c r="Q17" s="19"/>
      <c r="R17" s="19"/>
    </row>
    <row r="18" spans="1:18" s="6" customFormat="1" ht="15.95" customHeight="1" x14ac:dyDescent="0.25">
      <c r="A18" s="525" t="s">
        <v>171</v>
      </c>
      <c r="B18" s="62" t="s">
        <v>120</v>
      </c>
      <c r="C18" s="63" t="s">
        <v>186</v>
      </c>
      <c r="D18" s="103" t="s">
        <v>183</v>
      </c>
      <c r="E18" s="62">
        <v>30</v>
      </c>
      <c r="F18" s="53">
        <v>16</v>
      </c>
      <c r="G18" s="53">
        <f t="shared" si="1"/>
        <v>480</v>
      </c>
      <c r="H18" s="62" t="s">
        <v>74</v>
      </c>
      <c r="I18" s="82" t="s">
        <v>25</v>
      </c>
      <c r="J18" s="19"/>
      <c r="K18" s="19"/>
      <c r="L18" s="19"/>
      <c r="M18" s="19"/>
      <c r="N18" s="19"/>
      <c r="O18" s="19"/>
      <c r="P18" s="19"/>
      <c r="Q18" s="19"/>
      <c r="R18" s="19"/>
    </row>
    <row r="19" spans="1:18" s="6" customFormat="1" ht="15.95" customHeight="1" x14ac:dyDescent="0.25">
      <c r="A19" s="525" t="s">
        <v>171</v>
      </c>
      <c r="B19" s="62" t="s">
        <v>120</v>
      </c>
      <c r="C19" s="63" t="s">
        <v>402</v>
      </c>
      <c r="D19" s="103" t="s">
        <v>403</v>
      </c>
      <c r="E19" s="62">
        <v>30</v>
      </c>
      <c r="F19" s="53">
        <v>864</v>
      </c>
      <c r="G19" s="53">
        <f t="shared" ref="G19:G20" si="2">E19*F19</f>
        <v>25920</v>
      </c>
      <c r="H19" s="62" t="s">
        <v>74</v>
      </c>
      <c r="I19" s="82" t="s">
        <v>25</v>
      </c>
      <c r="J19" s="19"/>
      <c r="K19" s="19"/>
      <c r="L19" s="19"/>
      <c r="M19" s="19"/>
      <c r="N19" s="19"/>
      <c r="O19" s="19"/>
      <c r="P19" s="19"/>
      <c r="Q19" s="19"/>
      <c r="R19" s="19"/>
    </row>
    <row r="20" spans="1:18" s="6" customFormat="1" ht="15.95" customHeight="1" x14ac:dyDescent="0.25">
      <c r="A20" s="525" t="s">
        <v>171</v>
      </c>
      <c r="B20" s="62" t="s">
        <v>120</v>
      </c>
      <c r="C20" s="63" t="s">
        <v>249</v>
      </c>
      <c r="D20" s="103" t="s">
        <v>205</v>
      </c>
      <c r="E20" s="62">
        <v>30</v>
      </c>
      <c r="F20" s="53">
        <v>672</v>
      </c>
      <c r="G20" s="53">
        <f t="shared" si="2"/>
        <v>20160</v>
      </c>
      <c r="H20" s="62" t="s">
        <v>74</v>
      </c>
      <c r="I20" s="82" t="s">
        <v>25</v>
      </c>
      <c r="J20" s="19"/>
      <c r="K20" s="19"/>
      <c r="L20" s="19"/>
      <c r="M20" s="19"/>
      <c r="N20" s="19"/>
      <c r="O20" s="19"/>
      <c r="P20" s="19"/>
      <c r="Q20" s="19"/>
      <c r="R20" s="19"/>
    </row>
    <row r="21" spans="1:18" s="6" customFormat="1" ht="15.95" customHeight="1" x14ac:dyDescent="0.25">
      <c r="A21" s="525" t="s">
        <v>171</v>
      </c>
      <c r="B21" s="62" t="s">
        <v>120</v>
      </c>
      <c r="C21" s="63" t="s">
        <v>184</v>
      </c>
      <c r="D21" s="103">
        <v>46386</v>
      </c>
      <c r="E21" s="62">
        <v>30</v>
      </c>
      <c r="F21" s="53">
        <v>2017</v>
      </c>
      <c r="G21" s="53">
        <f t="shared" ref="G21" si="3">E21*F21</f>
        <v>60510</v>
      </c>
      <c r="H21" s="62" t="s">
        <v>74</v>
      </c>
      <c r="I21" s="82" t="s">
        <v>25</v>
      </c>
      <c r="J21" s="19"/>
      <c r="K21" s="19"/>
      <c r="L21" s="19"/>
      <c r="M21" s="19"/>
      <c r="N21" s="19"/>
      <c r="O21" s="19"/>
      <c r="P21" s="19"/>
      <c r="Q21" s="19"/>
      <c r="R21" s="19"/>
    </row>
    <row r="22" spans="1:18" s="6" customFormat="1" ht="15.95" customHeight="1" x14ac:dyDescent="0.25">
      <c r="A22" s="526" t="s">
        <v>142</v>
      </c>
      <c r="B22" s="508" t="s">
        <v>70</v>
      </c>
      <c r="C22" s="511" t="s">
        <v>250</v>
      </c>
      <c r="D22" s="512" t="s">
        <v>256</v>
      </c>
      <c r="E22" s="508">
        <v>30</v>
      </c>
      <c r="F22" s="509">
        <v>0</v>
      </c>
      <c r="G22" s="509">
        <f t="shared" si="1"/>
        <v>0</v>
      </c>
      <c r="H22" s="508" t="s">
        <v>74</v>
      </c>
      <c r="I22" s="510" t="s">
        <v>25</v>
      </c>
      <c r="J22" s="19"/>
      <c r="K22" s="19"/>
      <c r="L22" s="19"/>
      <c r="M22" s="19"/>
      <c r="N22" s="19"/>
      <c r="O22" s="19"/>
      <c r="P22" s="19"/>
      <c r="Q22" s="19"/>
      <c r="R22" s="19"/>
    </row>
    <row r="23" spans="1:18" ht="15.95" customHeight="1" x14ac:dyDescent="0.25">
      <c r="A23" s="526" t="s">
        <v>142</v>
      </c>
      <c r="B23" s="508" t="s">
        <v>70</v>
      </c>
      <c r="C23" s="511" t="s">
        <v>367</v>
      </c>
      <c r="D23" s="512" t="s">
        <v>259</v>
      </c>
      <c r="E23" s="508">
        <v>30</v>
      </c>
      <c r="F23" s="509">
        <v>120</v>
      </c>
      <c r="G23" s="509">
        <f t="shared" si="1"/>
        <v>3600</v>
      </c>
      <c r="H23" s="508" t="s">
        <v>74</v>
      </c>
      <c r="I23" s="510" t="s">
        <v>25</v>
      </c>
      <c r="J23" s="80"/>
      <c r="K23" s="80"/>
      <c r="L23" s="80"/>
      <c r="M23" s="80"/>
      <c r="N23" s="80"/>
      <c r="O23" s="80"/>
      <c r="P23" s="80"/>
      <c r="Q23" s="80"/>
      <c r="R23" s="80"/>
    </row>
    <row r="24" spans="1:18" s="6" customFormat="1" ht="15.95" customHeight="1" x14ac:dyDescent="0.25">
      <c r="A24" s="526" t="s">
        <v>142</v>
      </c>
      <c r="B24" s="508" t="s">
        <v>70</v>
      </c>
      <c r="C24" s="511" t="s">
        <v>367</v>
      </c>
      <c r="D24" s="512" t="s">
        <v>259</v>
      </c>
      <c r="E24" s="508">
        <v>30</v>
      </c>
      <c r="F24" s="509">
        <v>16</v>
      </c>
      <c r="G24" s="509">
        <f t="shared" ref="G24:G25" si="4">E24*F24</f>
        <v>480</v>
      </c>
      <c r="H24" s="508" t="s">
        <v>74</v>
      </c>
      <c r="I24" s="510" t="s">
        <v>25</v>
      </c>
      <c r="J24" s="19"/>
      <c r="K24" s="19"/>
      <c r="L24" s="19"/>
      <c r="M24" s="19"/>
      <c r="N24" s="19"/>
      <c r="O24" s="19"/>
      <c r="P24" s="19"/>
      <c r="Q24" s="19"/>
      <c r="R24" s="19"/>
    </row>
    <row r="25" spans="1:18" ht="15.95" customHeight="1" x14ac:dyDescent="0.25">
      <c r="A25" s="526" t="s">
        <v>142</v>
      </c>
      <c r="B25" s="508" t="s">
        <v>70</v>
      </c>
      <c r="C25" s="511" t="s">
        <v>402</v>
      </c>
      <c r="D25" s="512" t="s">
        <v>403</v>
      </c>
      <c r="E25" s="508">
        <v>30</v>
      </c>
      <c r="F25" s="509">
        <v>750</v>
      </c>
      <c r="G25" s="509">
        <f t="shared" si="4"/>
        <v>22500</v>
      </c>
      <c r="H25" s="508" t="s">
        <v>74</v>
      </c>
      <c r="I25" s="510" t="s">
        <v>25</v>
      </c>
      <c r="J25" s="80"/>
      <c r="K25" s="80"/>
      <c r="L25" s="80"/>
      <c r="M25" s="80"/>
      <c r="N25" s="80"/>
      <c r="O25" s="80"/>
      <c r="P25" s="80"/>
      <c r="Q25" s="80"/>
      <c r="R25" s="80"/>
    </row>
    <row r="26" spans="1:18" s="6" customFormat="1" ht="15.95" customHeight="1" x14ac:dyDescent="0.25">
      <c r="A26" s="532">
        <v>10570050</v>
      </c>
      <c r="B26" s="498" t="s">
        <v>71</v>
      </c>
      <c r="C26" s="501" t="s">
        <v>367</v>
      </c>
      <c r="D26" s="502" t="s">
        <v>259</v>
      </c>
      <c r="E26" s="498">
        <v>30</v>
      </c>
      <c r="F26" s="499">
        <v>120</v>
      </c>
      <c r="G26" s="499">
        <f t="shared" si="1"/>
        <v>3600</v>
      </c>
      <c r="H26" s="531" t="s">
        <v>74</v>
      </c>
      <c r="I26" s="500" t="s">
        <v>25</v>
      </c>
      <c r="J26" s="19"/>
      <c r="K26" s="19"/>
      <c r="L26" s="19"/>
      <c r="M26" s="19"/>
      <c r="N26" s="19"/>
      <c r="O26" s="19"/>
      <c r="P26" s="19"/>
      <c r="Q26" s="19"/>
      <c r="R26" s="19"/>
    </row>
    <row r="27" spans="1:18" s="6" customFormat="1" ht="15.95" customHeight="1" x14ac:dyDescent="0.25">
      <c r="A27" s="532">
        <v>10570050</v>
      </c>
      <c r="B27" s="498" t="s">
        <v>71</v>
      </c>
      <c r="C27" s="501" t="s">
        <v>404</v>
      </c>
      <c r="D27" s="502" t="s">
        <v>403</v>
      </c>
      <c r="E27" s="498">
        <v>30</v>
      </c>
      <c r="F27" s="499">
        <v>584</v>
      </c>
      <c r="G27" s="499">
        <f t="shared" si="1"/>
        <v>17520</v>
      </c>
      <c r="H27" s="531" t="s">
        <v>74</v>
      </c>
      <c r="I27" s="500" t="s">
        <v>25</v>
      </c>
      <c r="J27" s="19"/>
      <c r="K27" s="19"/>
      <c r="L27" s="19"/>
      <c r="M27" s="19"/>
      <c r="N27" s="19"/>
      <c r="O27" s="19"/>
      <c r="P27" s="19"/>
      <c r="Q27" s="19"/>
      <c r="R27" s="19"/>
    </row>
    <row r="28" spans="1:18" s="6" customFormat="1" ht="15.95" customHeight="1" x14ac:dyDescent="0.25">
      <c r="A28" s="532">
        <v>10570050</v>
      </c>
      <c r="B28" s="498" t="s">
        <v>71</v>
      </c>
      <c r="C28" s="501" t="s">
        <v>395</v>
      </c>
      <c r="D28" s="502" t="s">
        <v>183</v>
      </c>
      <c r="E28" s="498">
        <v>30</v>
      </c>
      <c r="F28" s="499">
        <v>15</v>
      </c>
      <c r="G28" s="499">
        <f t="shared" si="1"/>
        <v>450</v>
      </c>
      <c r="H28" s="531" t="s">
        <v>74</v>
      </c>
      <c r="I28" s="500" t="s">
        <v>25</v>
      </c>
      <c r="J28" s="19"/>
      <c r="K28" s="19"/>
      <c r="L28" s="19"/>
      <c r="M28" s="19"/>
      <c r="N28" s="19"/>
      <c r="O28" s="19"/>
      <c r="P28" s="19"/>
      <c r="Q28" s="19"/>
      <c r="R28" s="19"/>
    </row>
    <row r="29" spans="1:18" ht="15.95" customHeight="1" x14ac:dyDescent="0.25">
      <c r="A29" s="532">
        <v>10570050</v>
      </c>
      <c r="B29" s="498" t="s">
        <v>71</v>
      </c>
      <c r="C29" s="501" t="s">
        <v>405</v>
      </c>
      <c r="D29" s="502" t="s">
        <v>403</v>
      </c>
      <c r="E29" s="498">
        <v>30</v>
      </c>
      <c r="F29" s="499">
        <v>1</v>
      </c>
      <c r="G29" s="499">
        <f t="shared" ref="G29" si="5">E29*F29</f>
        <v>30</v>
      </c>
      <c r="H29" s="531" t="s">
        <v>74</v>
      </c>
      <c r="I29" s="500" t="s">
        <v>25</v>
      </c>
      <c r="J29" s="80"/>
      <c r="K29" s="80"/>
      <c r="L29" s="80"/>
      <c r="M29" s="80"/>
      <c r="N29" s="80"/>
      <c r="O29" s="80"/>
      <c r="P29" s="80"/>
      <c r="Q29" s="80"/>
      <c r="R29" s="80"/>
    </row>
    <row r="30" spans="1:18" ht="15.95" customHeight="1" x14ac:dyDescent="0.25">
      <c r="A30" s="638">
        <v>10570060</v>
      </c>
      <c r="B30" s="62" t="s">
        <v>156</v>
      </c>
      <c r="C30" s="63" t="s">
        <v>253</v>
      </c>
      <c r="D30" s="103" t="s">
        <v>256</v>
      </c>
      <c r="E30" s="62">
        <v>30</v>
      </c>
      <c r="F30" s="53">
        <v>0</v>
      </c>
      <c r="G30" s="53">
        <f t="shared" si="1"/>
        <v>0</v>
      </c>
      <c r="H30" s="62" t="s">
        <v>74</v>
      </c>
      <c r="I30" s="82" t="s">
        <v>25</v>
      </c>
      <c r="J30" s="295"/>
      <c r="K30" s="80"/>
      <c r="L30" s="80"/>
      <c r="M30" s="80"/>
      <c r="N30" s="80"/>
      <c r="O30" s="80"/>
      <c r="P30" s="80"/>
      <c r="Q30" s="80"/>
      <c r="R30" s="80"/>
    </row>
    <row r="31" spans="1:18" ht="15.95" customHeight="1" x14ac:dyDescent="0.25">
      <c r="A31" s="638">
        <v>10570060</v>
      </c>
      <c r="B31" s="62" t="s">
        <v>156</v>
      </c>
      <c r="C31" s="63" t="s">
        <v>260</v>
      </c>
      <c r="D31" s="103" t="s">
        <v>256</v>
      </c>
      <c r="E31" s="62">
        <v>30</v>
      </c>
      <c r="F31" s="53">
        <v>120</v>
      </c>
      <c r="G31" s="53">
        <f t="shared" ref="G31:G32" si="6">E31*F31</f>
        <v>3600</v>
      </c>
      <c r="H31" s="62" t="s">
        <v>74</v>
      </c>
      <c r="I31" s="82" t="s">
        <v>25</v>
      </c>
      <c r="J31" s="295"/>
      <c r="K31" s="80"/>
      <c r="L31" s="80"/>
      <c r="M31" s="80"/>
      <c r="N31" s="80"/>
      <c r="O31" s="80"/>
      <c r="P31" s="80"/>
      <c r="Q31" s="80"/>
      <c r="R31" s="80"/>
    </row>
    <row r="32" spans="1:18" ht="15.95" customHeight="1" x14ac:dyDescent="0.25">
      <c r="A32" s="638">
        <v>10570060</v>
      </c>
      <c r="B32" s="62" t="s">
        <v>156</v>
      </c>
      <c r="C32" s="63" t="s">
        <v>260</v>
      </c>
      <c r="D32" s="103" t="s">
        <v>256</v>
      </c>
      <c r="E32" s="62">
        <v>30</v>
      </c>
      <c r="F32" s="53">
        <v>5</v>
      </c>
      <c r="G32" s="53">
        <f t="shared" si="6"/>
        <v>150</v>
      </c>
      <c r="H32" s="62" t="s">
        <v>74</v>
      </c>
      <c r="I32" s="82" t="s">
        <v>25</v>
      </c>
      <c r="J32" s="80"/>
      <c r="K32" s="80"/>
      <c r="L32" s="80"/>
      <c r="M32" s="80"/>
      <c r="N32" s="80"/>
      <c r="O32" s="80"/>
      <c r="P32" s="80"/>
      <c r="Q32" s="80"/>
      <c r="R32" s="80"/>
    </row>
    <row r="33" spans="1:18" ht="15.95" customHeight="1" x14ac:dyDescent="0.25">
      <c r="A33" s="638">
        <v>10570060</v>
      </c>
      <c r="B33" s="62" t="s">
        <v>156</v>
      </c>
      <c r="C33" s="63" t="s">
        <v>406</v>
      </c>
      <c r="D33" s="103" t="s">
        <v>403</v>
      </c>
      <c r="E33" s="62">
        <v>30</v>
      </c>
      <c r="F33" s="53">
        <v>399</v>
      </c>
      <c r="G33" s="53">
        <f t="shared" ref="G33:G36" si="7">E33*F33</f>
        <v>11970</v>
      </c>
      <c r="H33" s="62" t="s">
        <v>74</v>
      </c>
      <c r="I33" s="82" t="s">
        <v>25</v>
      </c>
      <c r="J33" s="80"/>
      <c r="K33" s="80"/>
      <c r="L33" s="80"/>
      <c r="M33" s="80"/>
      <c r="N33" s="80"/>
      <c r="O33" s="80"/>
      <c r="P33" s="80"/>
      <c r="Q33" s="80"/>
      <c r="R33" s="80"/>
    </row>
    <row r="34" spans="1:18" ht="15.95" customHeight="1" x14ac:dyDescent="0.25">
      <c r="A34" s="638">
        <v>10570060</v>
      </c>
      <c r="B34" s="62" t="s">
        <v>156</v>
      </c>
      <c r="C34" s="63" t="s">
        <v>370</v>
      </c>
      <c r="D34" s="103" t="s">
        <v>183</v>
      </c>
      <c r="E34" s="62">
        <v>30</v>
      </c>
      <c r="F34" s="53">
        <v>2</v>
      </c>
      <c r="G34" s="53">
        <f t="shared" si="7"/>
        <v>60</v>
      </c>
      <c r="H34" s="62" t="s">
        <v>74</v>
      </c>
      <c r="I34" s="82" t="s">
        <v>25</v>
      </c>
      <c r="J34" s="80"/>
    </row>
    <row r="35" spans="1:18" ht="15.95" customHeight="1" x14ac:dyDescent="0.25">
      <c r="A35" s="638">
        <v>10570060</v>
      </c>
      <c r="B35" s="62" t="s">
        <v>156</v>
      </c>
      <c r="C35" s="63" t="s">
        <v>186</v>
      </c>
      <c r="D35" s="103" t="s">
        <v>183</v>
      </c>
      <c r="E35" s="62">
        <v>30</v>
      </c>
      <c r="F35" s="53">
        <v>2</v>
      </c>
      <c r="G35" s="53">
        <f t="shared" si="7"/>
        <v>60</v>
      </c>
      <c r="H35" s="62" t="s">
        <v>74</v>
      </c>
      <c r="I35" s="82" t="s">
        <v>25</v>
      </c>
      <c r="J35" s="80"/>
    </row>
    <row r="36" spans="1:18" ht="15.95" customHeight="1" x14ac:dyDescent="0.25">
      <c r="A36" s="638">
        <v>10570060</v>
      </c>
      <c r="B36" s="62" t="s">
        <v>156</v>
      </c>
      <c r="C36" s="63" t="s">
        <v>377</v>
      </c>
      <c r="D36" s="103" t="s">
        <v>182</v>
      </c>
      <c r="E36" s="62">
        <v>30</v>
      </c>
      <c r="F36" s="53">
        <v>3</v>
      </c>
      <c r="G36" s="53">
        <f t="shared" si="7"/>
        <v>90</v>
      </c>
      <c r="H36" s="62" t="s">
        <v>74</v>
      </c>
      <c r="I36" s="82" t="s">
        <v>25</v>
      </c>
      <c r="J36" s="80"/>
    </row>
    <row r="37" spans="1:18" ht="15.95" customHeight="1" x14ac:dyDescent="0.25">
      <c r="A37" s="638">
        <v>10570060</v>
      </c>
      <c r="B37" s="62" t="s">
        <v>156</v>
      </c>
      <c r="C37" s="63" t="s">
        <v>407</v>
      </c>
      <c r="D37" s="103" t="s">
        <v>182</v>
      </c>
      <c r="E37" s="62">
        <v>30</v>
      </c>
      <c r="F37" s="53">
        <v>4</v>
      </c>
      <c r="G37" s="53">
        <f t="shared" ref="G37" si="8">E37*F37</f>
        <v>120</v>
      </c>
      <c r="H37" s="62" t="s">
        <v>74</v>
      </c>
      <c r="I37" s="82" t="s">
        <v>25</v>
      </c>
      <c r="J37" s="80"/>
    </row>
    <row r="38" spans="1:18" ht="15.95" customHeight="1" x14ac:dyDescent="0.25">
      <c r="A38" s="527" t="s">
        <v>140</v>
      </c>
      <c r="B38" s="498" t="s">
        <v>141</v>
      </c>
      <c r="C38" s="501" t="s">
        <v>399</v>
      </c>
      <c r="D38" s="502" t="s">
        <v>403</v>
      </c>
      <c r="E38" s="522">
        <v>100</v>
      </c>
      <c r="F38" s="523">
        <v>3000</v>
      </c>
      <c r="G38" s="524">
        <f t="shared" ref="G38" si="9">E38*F38</f>
        <v>300000</v>
      </c>
      <c r="H38" s="498" t="s">
        <v>74</v>
      </c>
      <c r="I38" s="500" t="s">
        <v>25</v>
      </c>
      <c r="K38" s="80"/>
      <c r="L38" s="80"/>
      <c r="M38" s="80"/>
      <c r="N38" s="80"/>
      <c r="O38" s="80"/>
      <c r="P38" s="80"/>
      <c r="Q38" s="80"/>
      <c r="R38" s="80"/>
    </row>
    <row r="39" spans="1:18" ht="15.95" customHeight="1" x14ac:dyDescent="0.25">
      <c r="A39" s="527" t="s">
        <v>140</v>
      </c>
      <c r="B39" s="498" t="s">
        <v>141</v>
      </c>
      <c r="C39" s="501" t="s">
        <v>409</v>
      </c>
      <c r="D39" s="502" t="s">
        <v>408</v>
      </c>
      <c r="E39" s="522">
        <v>100</v>
      </c>
      <c r="F39" s="523">
        <v>119</v>
      </c>
      <c r="G39" s="524">
        <f t="shared" ref="G39" si="10">E39*F39</f>
        <v>11900</v>
      </c>
      <c r="H39" s="498" t="s">
        <v>74</v>
      </c>
      <c r="I39" s="500" t="s">
        <v>25</v>
      </c>
      <c r="K39" s="80"/>
      <c r="L39" s="80"/>
      <c r="M39" s="80"/>
      <c r="N39" s="80"/>
      <c r="O39" s="80"/>
      <c r="P39" s="80"/>
      <c r="Q39" s="80"/>
      <c r="R39" s="80"/>
    </row>
    <row r="40" spans="1:18" s="6" customFormat="1" ht="15.95" customHeight="1" x14ac:dyDescent="0.25">
      <c r="A40" s="528">
        <v>40240100</v>
      </c>
      <c r="B40" s="57" t="s">
        <v>29</v>
      </c>
      <c r="C40" s="63" t="s">
        <v>410</v>
      </c>
      <c r="D40" s="102" t="s">
        <v>411</v>
      </c>
      <c r="E40" s="57">
        <v>25</v>
      </c>
      <c r="F40" s="75">
        <v>3103</v>
      </c>
      <c r="G40" s="75">
        <f>E40*F40</f>
        <v>77575</v>
      </c>
      <c r="H40" s="57" t="s">
        <v>74</v>
      </c>
      <c r="I40" s="58" t="s">
        <v>25</v>
      </c>
      <c r="J40" s="19"/>
      <c r="K40" s="19"/>
      <c r="L40" s="19"/>
      <c r="M40" s="19"/>
      <c r="N40" s="19"/>
      <c r="O40" s="19"/>
      <c r="P40" s="19"/>
      <c r="Q40" s="19"/>
      <c r="R40" s="19"/>
    </row>
    <row r="41" spans="1:18" s="6" customFormat="1" ht="15.95" customHeight="1" x14ac:dyDescent="0.25">
      <c r="A41"/>
      <c r="B41"/>
      <c r="C41"/>
      <c r="D41"/>
      <c r="E41"/>
      <c r="F41"/>
      <c r="G41" s="295"/>
      <c r="H41" s="295"/>
      <c r="I41"/>
      <c r="J41" s="19"/>
      <c r="K41" s="19"/>
      <c r="L41" s="19"/>
      <c r="M41" s="19"/>
      <c r="N41" s="19"/>
      <c r="O41" s="19"/>
      <c r="P41" s="19"/>
      <c r="Q41" s="19"/>
      <c r="R41" s="19"/>
    </row>
    <row r="42" spans="1:18" s="6" customFormat="1" ht="15.95" customHeight="1" x14ac:dyDescent="0.25">
      <c r="A42" s="50" t="s">
        <v>77</v>
      </c>
      <c r="B42" s="51"/>
      <c r="C42" s="52"/>
      <c r="D42" s="52"/>
      <c r="E42" s="51"/>
      <c r="F42" s="79"/>
      <c r="G42" s="75">
        <f t="shared" ref="G42" si="11">E42*F42</f>
        <v>0</v>
      </c>
      <c r="H42" s="51"/>
      <c r="I42" s="56"/>
      <c r="J42" s="19"/>
      <c r="K42" s="19"/>
      <c r="L42" s="19"/>
      <c r="M42" s="19"/>
      <c r="N42" s="19"/>
      <c r="O42" s="19"/>
      <c r="P42" s="19"/>
      <c r="Q42" s="19"/>
      <c r="R42" s="19"/>
    </row>
    <row r="43" spans="1:18" s="6" customFormat="1" ht="15.95" customHeight="1" x14ac:dyDescent="0.25">
      <c r="A43" s="525" t="s">
        <v>171</v>
      </c>
      <c r="B43" s="62" t="s">
        <v>120</v>
      </c>
      <c r="C43" s="63" t="s">
        <v>249</v>
      </c>
      <c r="D43" s="103" t="s">
        <v>256</v>
      </c>
      <c r="E43" s="62">
        <v>30</v>
      </c>
      <c r="F43" s="53">
        <v>83</v>
      </c>
      <c r="G43" s="53">
        <f t="shared" ref="G43:G49" si="12">E43*F43</f>
        <v>2490</v>
      </c>
      <c r="H43" s="62" t="s">
        <v>74</v>
      </c>
      <c r="I43" s="82" t="s">
        <v>26</v>
      </c>
      <c r="J43" s="19"/>
      <c r="K43" s="19"/>
      <c r="L43" s="19"/>
      <c r="M43" s="19"/>
      <c r="N43" s="19"/>
      <c r="O43" s="19"/>
      <c r="P43" s="19"/>
      <c r="Q43" s="19"/>
      <c r="R43" s="19"/>
    </row>
    <row r="44" spans="1:18" s="6" customFormat="1" ht="15.95" customHeight="1" x14ac:dyDescent="0.25">
      <c r="A44" s="525" t="s">
        <v>171</v>
      </c>
      <c r="B44" s="62" t="s">
        <v>120</v>
      </c>
      <c r="C44" s="63" t="s">
        <v>225</v>
      </c>
      <c r="D44" s="103" t="s">
        <v>183</v>
      </c>
      <c r="E44" s="62">
        <v>30</v>
      </c>
      <c r="F44" s="53">
        <v>0</v>
      </c>
      <c r="G44" s="53">
        <f t="shared" si="12"/>
        <v>0</v>
      </c>
      <c r="H44" s="62" t="s">
        <v>74</v>
      </c>
      <c r="I44" s="82" t="s">
        <v>26</v>
      </c>
      <c r="J44" s="19"/>
      <c r="K44" s="19"/>
      <c r="L44" s="19"/>
      <c r="M44" s="19"/>
      <c r="N44" s="19"/>
      <c r="O44" s="19"/>
      <c r="P44" s="19"/>
      <c r="Q44" s="19"/>
      <c r="R44" s="19"/>
    </row>
    <row r="45" spans="1:18" s="6" customFormat="1" ht="15.95" customHeight="1" x14ac:dyDescent="0.25">
      <c r="A45" s="529">
        <v>10570040</v>
      </c>
      <c r="B45" s="65" t="s">
        <v>108</v>
      </c>
      <c r="C45" s="66" t="s">
        <v>187</v>
      </c>
      <c r="D45" s="72" t="s">
        <v>188</v>
      </c>
      <c r="E45" s="67">
        <v>30</v>
      </c>
      <c r="F45" s="78">
        <v>0</v>
      </c>
      <c r="G45" s="55">
        <f t="shared" si="12"/>
        <v>0</v>
      </c>
      <c r="H45" s="81" t="s">
        <v>74</v>
      </c>
      <c r="I45" s="81" t="s">
        <v>26</v>
      </c>
      <c r="J45" s="19"/>
      <c r="K45" s="19"/>
      <c r="L45" s="19"/>
      <c r="M45" s="19"/>
      <c r="N45" s="19"/>
      <c r="O45" s="19"/>
      <c r="P45" s="19"/>
      <c r="Q45" s="19"/>
      <c r="R45" s="19"/>
    </row>
    <row r="46" spans="1:18" s="6" customFormat="1" ht="15.95" customHeight="1" x14ac:dyDescent="0.25">
      <c r="A46" s="529">
        <v>10570040</v>
      </c>
      <c r="B46" s="65" t="s">
        <v>108</v>
      </c>
      <c r="C46" s="66" t="s">
        <v>186</v>
      </c>
      <c r="D46" s="72" t="s">
        <v>183</v>
      </c>
      <c r="E46" s="67">
        <v>30</v>
      </c>
      <c r="F46" s="78">
        <v>0</v>
      </c>
      <c r="G46" s="55">
        <f t="shared" si="12"/>
        <v>0</v>
      </c>
      <c r="H46" s="81" t="s">
        <v>74</v>
      </c>
      <c r="I46" s="81" t="s">
        <v>26</v>
      </c>
      <c r="J46" s="19"/>
      <c r="K46" s="19"/>
      <c r="L46" s="19"/>
      <c r="M46" s="19"/>
      <c r="N46" s="19"/>
      <c r="O46" s="19"/>
      <c r="P46" s="19"/>
      <c r="Q46" s="19"/>
      <c r="R46" s="19"/>
    </row>
    <row r="47" spans="1:18" ht="15.75" customHeight="1" x14ac:dyDescent="0.25">
      <c r="A47" s="529">
        <v>10570040</v>
      </c>
      <c r="B47" s="65" t="s">
        <v>108</v>
      </c>
      <c r="C47" s="66" t="s">
        <v>250</v>
      </c>
      <c r="D47" s="72" t="s">
        <v>256</v>
      </c>
      <c r="E47" s="67">
        <v>30</v>
      </c>
      <c r="F47" s="78">
        <v>87</v>
      </c>
      <c r="G47" s="55">
        <f t="shared" si="12"/>
        <v>2610</v>
      </c>
      <c r="H47" s="81" t="s">
        <v>74</v>
      </c>
      <c r="I47" s="81" t="s">
        <v>26</v>
      </c>
      <c r="J47" s="80"/>
      <c r="K47" s="80"/>
      <c r="L47" s="80"/>
      <c r="M47" s="80"/>
      <c r="N47" s="80"/>
      <c r="O47" s="80"/>
      <c r="P47" s="80"/>
      <c r="Q47" s="80"/>
      <c r="R47" s="80"/>
    </row>
    <row r="48" spans="1:18" ht="15.95" customHeight="1" x14ac:dyDescent="0.25">
      <c r="A48" s="532">
        <v>10570050</v>
      </c>
      <c r="B48" s="498" t="s">
        <v>71</v>
      </c>
      <c r="C48" s="501" t="s">
        <v>190</v>
      </c>
      <c r="D48" s="502" t="s">
        <v>185</v>
      </c>
      <c r="E48" s="498">
        <v>30</v>
      </c>
      <c r="F48" s="499">
        <v>0</v>
      </c>
      <c r="G48" s="499">
        <f t="shared" si="12"/>
        <v>0</v>
      </c>
      <c r="H48" s="531" t="s">
        <v>74</v>
      </c>
      <c r="I48" s="500" t="s">
        <v>26</v>
      </c>
      <c r="J48" s="80"/>
      <c r="K48" s="80"/>
      <c r="L48" s="80"/>
      <c r="M48" s="80"/>
      <c r="N48" s="80"/>
      <c r="O48" s="80"/>
      <c r="P48" s="80"/>
      <c r="Q48" s="80"/>
      <c r="R48" s="80"/>
    </row>
    <row r="49" spans="1:18" ht="15.95" customHeight="1" x14ac:dyDescent="0.25">
      <c r="A49" s="532">
        <v>10570050</v>
      </c>
      <c r="B49" s="498" t="s">
        <v>71</v>
      </c>
      <c r="C49" s="501" t="s">
        <v>252</v>
      </c>
      <c r="D49" s="502" t="s">
        <v>256</v>
      </c>
      <c r="E49" s="498">
        <v>30</v>
      </c>
      <c r="F49" s="499">
        <v>941</v>
      </c>
      <c r="G49" s="499">
        <f t="shared" si="12"/>
        <v>28230</v>
      </c>
      <c r="H49" s="531" t="s">
        <v>74</v>
      </c>
      <c r="I49" s="500" t="s">
        <v>26</v>
      </c>
      <c r="J49" s="80"/>
      <c r="K49" s="80"/>
      <c r="L49" s="80"/>
      <c r="M49" s="80"/>
      <c r="N49" s="80"/>
      <c r="O49" s="80"/>
      <c r="P49" s="80"/>
      <c r="Q49" s="80"/>
      <c r="R49" s="80"/>
    </row>
    <row r="50" spans="1:18" s="711" customFormat="1" ht="15.95" customHeight="1" x14ac:dyDescent="0.25">
      <c r="A50" s="533" t="s">
        <v>143</v>
      </c>
      <c r="B50" s="65" t="s">
        <v>106</v>
      </c>
      <c r="C50" s="66" t="s">
        <v>227</v>
      </c>
      <c r="D50" s="72" t="s">
        <v>183</v>
      </c>
      <c r="E50" s="67">
        <v>30</v>
      </c>
      <c r="F50" s="78">
        <v>0</v>
      </c>
      <c r="G50" s="55">
        <f t="shared" ref="G50:G57" si="13">E50*F50</f>
        <v>0</v>
      </c>
      <c r="H50" s="81" t="s">
        <v>74</v>
      </c>
      <c r="I50" s="81" t="s">
        <v>26</v>
      </c>
      <c r="J50" s="710"/>
      <c r="K50" s="710"/>
      <c r="L50" s="710"/>
      <c r="M50" s="710"/>
      <c r="N50" s="710"/>
      <c r="O50" s="710"/>
      <c r="P50" s="710"/>
      <c r="Q50" s="710"/>
      <c r="R50" s="710"/>
    </row>
    <row r="51" spans="1:18" ht="15.95" customHeight="1" x14ac:dyDescent="0.25">
      <c r="A51" s="533" t="s">
        <v>143</v>
      </c>
      <c r="B51" s="65" t="s">
        <v>106</v>
      </c>
      <c r="C51" s="66" t="s">
        <v>189</v>
      </c>
      <c r="D51" s="72" t="s">
        <v>185</v>
      </c>
      <c r="E51" s="67">
        <v>30</v>
      </c>
      <c r="F51" s="78">
        <v>0</v>
      </c>
      <c r="G51" s="55">
        <f>E51*F51</f>
        <v>0</v>
      </c>
      <c r="H51" s="81" t="s">
        <v>74</v>
      </c>
      <c r="I51" s="81" t="s">
        <v>26</v>
      </c>
      <c r="J51" s="80"/>
      <c r="K51" s="80"/>
      <c r="L51" s="80"/>
      <c r="M51" s="80"/>
      <c r="N51" s="80"/>
      <c r="O51" s="80"/>
      <c r="P51" s="80"/>
      <c r="Q51" s="80"/>
      <c r="R51" s="80"/>
    </row>
    <row r="52" spans="1:18" s="145" customFormat="1" ht="15.95" customHeight="1" x14ac:dyDescent="0.2">
      <c r="A52" s="533" t="s">
        <v>143</v>
      </c>
      <c r="B52" s="65" t="s">
        <v>106</v>
      </c>
      <c r="C52" s="66" t="s">
        <v>226</v>
      </c>
      <c r="D52" s="72" t="s">
        <v>183</v>
      </c>
      <c r="E52" s="67">
        <v>30</v>
      </c>
      <c r="F52" s="78">
        <v>0</v>
      </c>
      <c r="G52" s="55">
        <f t="shared" si="13"/>
        <v>0</v>
      </c>
      <c r="H52" s="81" t="s">
        <v>74</v>
      </c>
      <c r="I52" s="81" t="s">
        <v>26</v>
      </c>
    </row>
    <row r="53" spans="1:18" s="145" customFormat="1" ht="15.95" customHeight="1" x14ac:dyDescent="0.2">
      <c r="A53" s="533" t="s">
        <v>143</v>
      </c>
      <c r="B53" s="65" t="s">
        <v>106</v>
      </c>
      <c r="C53" s="66" t="s">
        <v>225</v>
      </c>
      <c r="D53" s="72" t="s">
        <v>183</v>
      </c>
      <c r="E53" s="67">
        <v>30</v>
      </c>
      <c r="F53" s="78">
        <v>0</v>
      </c>
      <c r="G53" s="55">
        <f>E53*F53</f>
        <v>0</v>
      </c>
      <c r="H53" s="81" t="s">
        <v>74</v>
      </c>
      <c r="I53" s="81" t="s">
        <v>26</v>
      </c>
    </row>
    <row r="54" spans="1:18" s="416" customFormat="1" ht="15.95" customHeight="1" x14ac:dyDescent="0.2">
      <c r="A54" s="533" t="s">
        <v>143</v>
      </c>
      <c r="B54" s="65" t="s">
        <v>106</v>
      </c>
      <c r="C54" s="66" t="s">
        <v>257</v>
      </c>
      <c r="D54" s="72" t="s">
        <v>256</v>
      </c>
      <c r="E54" s="67">
        <v>30</v>
      </c>
      <c r="F54" s="78">
        <v>145</v>
      </c>
      <c r="G54" s="55">
        <f>E54*F54</f>
        <v>4350</v>
      </c>
      <c r="H54" s="81" t="s">
        <v>74</v>
      </c>
      <c r="I54" s="81" t="s">
        <v>26</v>
      </c>
    </row>
    <row r="55" spans="1:18" s="416" customFormat="1" ht="15.95" customHeight="1" x14ac:dyDescent="0.2">
      <c r="A55" s="527" t="s">
        <v>140</v>
      </c>
      <c r="B55" s="498" t="s">
        <v>141</v>
      </c>
      <c r="C55" s="501" t="s">
        <v>258</v>
      </c>
      <c r="D55" s="502" t="s">
        <v>259</v>
      </c>
      <c r="E55" s="522">
        <v>100</v>
      </c>
      <c r="F55" s="523">
        <v>5690</v>
      </c>
      <c r="G55" s="524">
        <f>E55*F55</f>
        <v>569000</v>
      </c>
      <c r="H55" s="498" t="s">
        <v>74</v>
      </c>
      <c r="I55" s="500" t="s">
        <v>26</v>
      </c>
    </row>
    <row r="56" spans="1:18" s="416" customFormat="1" ht="15.95" customHeight="1" x14ac:dyDescent="0.2">
      <c r="A56" s="534">
        <v>40240100</v>
      </c>
      <c r="B56" s="62" t="s">
        <v>29</v>
      </c>
      <c r="C56" s="63" t="s">
        <v>410</v>
      </c>
      <c r="D56" s="103">
        <v>46691</v>
      </c>
      <c r="E56" s="64">
        <v>25</v>
      </c>
      <c r="F56" s="77">
        <v>7918</v>
      </c>
      <c r="G56" s="54">
        <f t="shared" si="13"/>
        <v>197950</v>
      </c>
      <c r="H56" s="82" t="s">
        <v>74</v>
      </c>
      <c r="I56" s="82" t="s">
        <v>26</v>
      </c>
    </row>
    <row r="57" spans="1:18" s="416" customFormat="1" ht="15.95" customHeight="1" x14ac:dyDescent="0.2">
      <c r="A57" s="534">
        <v>40240100</v>
      </c>
      <c r="B57" s="62" t="s">
        <v>29</v>
      </c>
      <c r="C57" s="63" t="s">
        <v>255</v>
      </c>
      <c r="D57" s="103" t="s">
        <v>188</v>
      </c>
      <c r="E57" s="64">
        <v>25</v>
      </c>
      <c r="F57" s="77">
        <v>0</v>
      </c>
      <c r="G57" s="54">
        <f t="shared" si="13"/>
        <v>0</v>
      </c>
      <c r="H57" s="82" t="s">
        <v>74</v>
      </c>
      <c r="I57" s="82" t="s">
        <v>26</v>
      </c>
    </row>
    <row r="58" spans="1:18" s="416" customFormat="1" ht="15.95" customHeight="1" x14ac:dyDescent="0.2">
      <c r="A58" s="702"/>
      <c r="B58" s="703"/>
      <c r="C58" s="704"/>
      <c r="D58" s="705"/>
      <c r="E58" s="706"/>
      <c r="F58" s="707"/>
      <c r="G58" s="708"/>
      <c r="H58" s="709"/>
      <c r="I58" s="709"/>
    </row>
    <row r="59" spans="1:18" s="6" customFormat="1" ht="15.95" customHeight="1" x14ac:dyDescent="0.25">
      <c r="A59" s="47" t="s">
        <v>78</v>
      </c>
      <c r="B59" s="48"/>
      <c r="C59" s="49"/>
      <c r="D59" s="49"/>
      <c r="E59" s="48"/>
      <c r="F59" s="74"/>
      <c r="G59" s="76">
        <f t="shared" ref="G59:G65" si="14">E59*F59</f>
        <v>0</v>
      </c>
      <c r="H59" s="59"/>
      <c r="I59" s="59"/>
    </row>
    <row r="60" spans="1:18" ht="15.95" customHeight="1" x14ac:dyDescent="0.25">
      <c r="A60" s="712" t="s">
        <v>171</v>
      </c>
      <c r="B60" s="531" t="s">
        <v>120</v>
      </c>
      <c r="C60" s="538" t="s">
        <v>184</v>
      </c>
      <c r="D60" s="539">
        <v>46387</v>
      </c>
      <c r="E60" s="531">
        <v>30</v>
      </c>
      <c r="F60" s="524">
        <v>10</v>
      </c>
      <c r="G60" s="524">
        <f>E60*F60</f>
        <v>300</v>
      </c>
      <c r="H60" s="531" t="s">
        <v>74</v>
      </c>
      <c r="I60" s="535" t="s">
        <v>27</v>
      </c>
      <c r="J60" s="80"/>
      <c r="K60" s="80"/>
      <c r="L60" s="80"/>
      <c r="M60" s="80"/>
      <c r="N60" s="80"/>
      <c r="O60" s="80"/>
      <c r="P60" s="80"/>
      <c r="Q60" s="80"/>
      <c r="R60" s="80"/>
    </row>
    <row r="61" spans="1:18" ht="15.95" customHeight="1" x14ac:dyDescent="0.25">
      <c r="A61" s="698">
        <v>10570040</v>
      </c>
      <c r="B61" s="508" t="s">
        <v>120</v>
      </c>
      <c r="C61" s="511" t="s">
        <v>250</v>
      </c>
      <c r="D61" s="512">
        <v>46418</v>
      </c>
      <c r="E61" s="508">
        <v>30</v>
      </c>
      <c r="F61" s="509">
        <v>173</v>
      </c>
      <c r="G61" s="509">
        <f t="shared" si="14"/>
        <v>5190</v>
      </c>
      <c r="H61" s="530" t="s">
        <v>74</v>
      </c>
      <c r="I61" s="548" t="s">
        <v>27</v>
      </c>
      <c r="J61" s="80"/>
      <c r="K61" s="80"/>
      <c r="L61" s="80"/>
      <c r="M61" s="80"/>
      <c r="N61" s="80"/>
      <c r="O61" s="80"/>
      <c r="P61" s="80"/>
      <c r="Q61" s="80"/>
      <c r="R61" s="80"/>
    </row>
    <row r="62" spans="1:18" ht="15.95" customHeight="1" x14ac:dyDescent="0.25">
      <c r="A62" s="698">
        <v>10570040</v>
      </c>
      <c r="B62" s="508" t="s">
        <v>108</v>
      </c>
      <c r="C62" s="511" t="s">
        <v>187</v>
      </c>
      <c r="D62" s="512">
        <v>46418</v>
      </c>
      <c r="E62" s="508">
        <v>30</v>
      </c>
      <c r="F62" s="509">
        <v>18</v>
      </c>
      <c r="G62" s="509">
        <f>E62*F62</f>
        <v>540</v>
      </c>
      <c r="H62" s="530" t="s">
        <v>74</v>
      </c>
      <c r="I62" s="548" t="s">
        <v>27</v>
      </c>
      <c r="J62" s="80"/>
      <c r="K62" s="80"/>
      <c r="L62" s="80"/>
      <c r="M62" s="80"/>
      <c r="N62" s="80"/>
      <c r="O62" s="80"/>
      <c r="P62" s="80"/>
      <c r="Q62" s="80"/>
      <c r="R62" s="80"/>
    </row>
    <row r="63" spans="1:18" ht="15.95" customHeight="1" x14ac:dyDescent="0.25">
      <c r="A63" s="698">
        <v>10570040</v>
      </c>
      <c r="B63" s="508" t="s">
        <v>108</v>
      </c>
      <c r="C63" s="511" t="s">
        <v>413</v>
      </c>
      <c r="D63" s="512">
        <v>46752</v>
      </c>
      <c r="E63" s="508">
        <v>30</v>
      </c>
      <c r="F63" s="509">
        <v>6</v>
      </c>
      <c r="G63" s="509">
        <f>E63*F63</f>
        <v>180</v>
      </c>
      <c r="H63" s="530" t="s">
        <v>74</v>
      </c>
      <c r="I63" s="548" t="s">
        <v>27</v>
      </c>
      <c r="J63" s="80"/>
      <c r="K63" s="80"/>
      <c r="L63" s="80"/>
      <c r="M63" s="80"/>
      <c r="N63" s="80"/>
      <c r="O63" s="80"/>
      <c r="P63" s="80"/>
      <c r="Q63" s="80"/>
      <c r="R63" s="80"/>
    </row>
    <row r="64" spans="1:18" ht="15.95" customHeight="1" x14ac:dyDescent="0.25">
      <c r="A64" s="698">
        <v>10570040</v>
      </c>
      <c r="B64" s="508" t="s">
        <v>108</v>
      </c>
      <c r="C64" s="66" t="s">
        <v>250</v>
      </c>
      <c r="D64" s="72" t="s">
        <v>256</v>
      </c>
      <c r="E64" s="508">
        <v>30</v>
      </c>
      <c r="F64" s="509">
        <v>59</v>
      </c>
      <c r="G64" s="509">
        <f>E64*F64</f>
        <v>1770</v>
      </c>
      <c r="H64" s="530" t="s">
        <v>74</v>
      </c>
      <c r="I64" s="548" t="s">
        <v>27</v>
      </c>
      <c r="J64" s="80"/>
      <c r="K64" s="80"/>
      <c r="L64" s="80"/>
      <c r="M64" s="80"/>
      <c r="N64" s="80"/>
      <c r="O64" s="80"/>
      <c r="P64" s="80"/>
      <c r="Q64" s="80"/>
      <c r="R64" s="80"/>
    </row>
    <row r="65" spans="1:18" ht="15.95" customHeight="1" x14ac:dyDescent="0.25">
      <c r="A65" s="542">
        <v>10570050</v>
      </c>
      <c r="B65" s="498" t="s">
        <v>71</v>
      </c>
      <c r="C65" s="501" t="s">
        <v>251</v>
      </c>
      <c r="D65" s="502">
        <v>46721</v>
      </c>
      <c r="E65" s="498">
        <v>30</v>
      </c>
      <c r="F65" s="499">
        <f>28+34</f>
        <v>62</v>
      </c>
      <c r="G65" s="499">
        <f t="shared" si="14"/>
        <v>1860</v>
      </c>
      <c r="H65" s="531" t="s">
        <v>74</v>
      </c>
      <c r="I65" s="500" t="s">
        <v>27</v>
      </c>
      <c r="J65" s="80"/>
      <c r="K65" s="80"/>
      <c r="L65" s="80"/>
      <c r="M65" s="80"/>
      <c r="N65" s="80"/>
      <c r="O65" s="80"/>
      <c r="P65" s="80"/>
      <c r="Q65" s="80"/>
      <c r="R65" s="80"/>
    </row>
    <row r="66" spans="1:18" s="711" customFormat="1" ht="15.95" customHeight="1" x14ac:dyDescent="0.25">
      <c r="A66" s="542">
        <v>10570050</v>
      </c>
      <c r="B66" s="498" t="s">
        <v>71</v>
      </c>
      <c r="C66" s="501" t="s">
        <v>261</v>
      </c>
      <c r="D66" s="502">
        <v>46843</v>
      </c>
      <c r="E66" s="498">
        <v>30</v>
      </c>
      <c r="F66" s="499">
        <v>0</v>
      </c>
      <c r="G66" s="499">
        <f>E66*F66</f>
        <v>0</v>
      </c>
      <c r="H66" s="531" t="s">
        <v>74</v>
      </c>
      <c r="I66" s="500" t="s">
        <v>27</v>
      </c>
      <c r="J66" s="710"/>
      <c r="K66" s="710"/>
      <c r="L66" s="710"/>
      <c r="M66" s="710"/>
      <c r="N66" s="710"/>
      <c r="O66" s="710"/>
      <c r="P66" s="710"/>
      <c r="Q66" s="710"/>
      <c r="R66" s="710"/>
    </row>
    <row r="67" spans="1:18" s="416" customFormat="1" ht="15.95" customHeight="1" x14ac:dyDescent="0.2">
      <c r="A67" s="542">
        <v>10570050</v>
      </c>
      <c r="B67" s="498" t="s">
        <v>71</v>
      </c>
      <c r="C67" s="501" t="s">
        <v>375</v>
      </c>
      <c r="D67" s="502">
        <v>46326</v>
      </c>
      <c r="E67" s="498">
        <v>30</v>
      </c>
      <c r="F67" s="499">
        <v>71</v>
      </c>
      <c r="G67" s="499">
        <f>E67*F67</f>
        <v>2130</v>
      </c>
      <c r="H67" s="531" t="s">
        <v>74</v>
      </c>
      <c r="I67" s="500" t="s">
        <v>27</v>
      </c>
    </row>
    <row r="68" spans="1:18" s="416" customFormat="1" ht="15.95" customHeight="1" x14ac:dyDescent="0.2">
      <c r="A68" s="699" t="s">
        <v>143</v>
      </c>
      <c r="B68" s="530" t="s">
        <v>106</v>
      </c>
      <c r="C68" s="544" t="s">
        <v>253</v>
      </c>
      <c r="D68" s="545">
        <v>46721</v>
      </c>
      <c r="E68" s="530">
        <v>30</v>
      </c>
      <c r="F68" s="546">
        <v>0</v>
      </c>
      <c r="G68" s="546">
        <f t="shared" ref="G68:G73" si="15">E68*F68</f>
        <v>0</v>
      </c>
      <c r="H68" s="530" t="s">
        <v>74</v>
      </c>
      <c r="I68" s="547" t="s">
        <v>27</v>
      </c>
    </row>
    <row r="69" spans="1:18" s="416" customFormat="1" ht="15.95" customHeight="1" x14ac:dyDescent="0.2">
      <c r="A69" s="542">
        <v>10570130</v>
      </c>
      <c r="B69" s="536" t="s">
        <v>101</v>
      </c>
      <c r="C69" s="501">
        <v>80324</v>
      </c>
      <c r="D69" s="502">
        <v>46446</v>
      </c>
      <c r="E69" s="498">
        <v>100</v>
      </c>
      <c r="F69" s="499">
        <v>0</v>
      </c>
      <c r="G69" s="499">
        <f t="shared" si="15"/>
        <v>0</v>
      </c>
      <c r="H69" s="531" t="s">
        <v>74</v>
      </c>
      <c r="I69" s="535" t="s">
        <v>27</v>
      </c>
    </row>
    <row r="70" spans="1:18" s="416" customFormat="1" ht="15.95" customHeight="1" x14ac:dyDescent="0.2">
      <c r="A70" s="542">
        <v>10570030</v>
      </c>
      <c r="B70" s="536" t="s">
        <v>101</v>
      </c>
      <c r="C70" s="501">
        <v>20825</v>
      </c>
      <c r="D70" s="502">
        <v>46965</v>
      </c>
      <c r="E70" s="498">
        <v>100</v>
      </c>
      <c r="F70" s="499">
        <v>0</v>
      </c>
      <c r="G70" s="499">
        <f t="shared" si="15"/>
        <v>0</v>
      </c>
      <c r="H70" s="531" t="s">
        <v>74</v>
      </c>
      <c r="I70" s="535" t="s">
        <v>27</v>
      </c>
    </row>
    <row r="71" spans="1:18" s="145" customFormat="1" ht="15.95" customHeight="1" x14ac:dyDescent="0.2">
      <c r="A71" s="700">
        <v>40240100</v>
      </c>
      <c r="B71" s="549" t="s">
        <v>29</v>
      </c>
      <c r="C71" s="544" t="s">
        <v>262</v>
      </c>
      <c r="D71" s="507">
        <v>46418</v>
      </c>
      <c r="E71" s="549">
        <v>25</v>
      </c>
      <c r="F71" s="550">
        <v>26</v>
      </c>
      <c r="G71" s="550">
        <f t="shared" si="15"/>
        <v>650</v>
      </c>
      <c r="H71" s="549" t="s">
        <v>74</v>
      </c>
      <c r="I71" s="510" t="s">
        <v>161</v>
      </c>
    </row>
    <row r="72" spans="1:18" s="145" customFormat="1" ht="15.95" customHeight="1" x14ac:dyDescent="0.2">
      <c r="A72" s="700">
        <v>40240100</v>
      </c>
      <c r="B72" s="549" t="s">
        <v>29</v>
      </c>
      <c r="C72" s="544" t="s">
        <v>254</v>
      </c>
      <c r="D72" s="507">
        <v>46507</v>
      </c>
      <c r="E72" s="549">
        <v>25</v>
      </c>
      <c r="F72" s="550">
        <v>1950</v>
      </c>
      <c r="G72" s="550">
        <f t="shared" si="15"/>
        <v>48750</v>
      </c>
      <c r="H72" s="549" t="s">
        <v>74</v>
      </c>
      <c r="I72" s="510" t="s">
        <v>161</v>
      </c>
    </row>
    <row r="73" spans="1:18" s="145" customFormat="1" ht="15.95" customHeight="1" x14ac:dyDescent="0.2">
      <c r="A73" s="700">
        <v>40240100</v>
      </c>
      <c r="B73" s="549" t="s">
        <v>29</v>
      </c>
      <c r="C73" s="544" t="s">
        <v>255</v>
      </c>
      <c r="D73" s="507">
        <v>46418</v>
      </c>
      <c r="E73" s="549">
        <v>25</v>
      </c>
      <c r="F73" s="550">
        <v>10</v>
      </c>
      <c r="G73" s="550">
        <f t="shared" si="15"/>
        <v>250</v>
      </c>
      <c r="H73" s="549" t="s">
        <v>74</v>
      </c>
      <c r="I73" s="510" t="s">
        <v>161</v>
      </c>
    </row>
    <row r="74" spans="1:18" s="145" customFormat="1" ht="15.95" customHeight="1" x14ac:dyDescent="0.2">
      <c r="A74" s="713"/>
      <c r="B74" s="714"/>
      <c r="C74" s="704"/>
      <c r="D74" s="715"/>
      <c r="E74" s="714"/>
      <c r="F74" s="716"/>
      <c r="G74" s="716"/>
      <c r="H74" s="714"/>
      <c r="I74" s="717"/>
    </row>
    <row r="75" spans="1:18" s="145" customFormat="1" ht="15.95" customHeight="1" x14ac:dyDescent="0.2">
      <c r="A75" s="701" t="s">
        <v>81</v>
      </c>
      <c r="B75" s="552"/>
      <c r="C75" s="553"/>
      <c r="D75" s="554"/>
      <c r="E75" s="552"/>
      <c r="F75" s="555"/>
      <c r="G75" s="555"/>
      <c r="H75" s="552"/>
      <c r="I75" s="556"/>
    </row>
    <row r="76" spans="1:18" s="145" customFormat="1" ht="15.95" customHeight="1" x14ac:dyDescent="0.2">
      <c r="A76" s="699">
        <v>10570030</v>
      </c>
      <c r="B76" s="530" t="s">
        <v>120</v>
      </c>
      <c r="C76" s="544" t="s">
        <v>402</v>
      </c>
      <c r="D76" s="545">
        <v>47057</v>
      </c>
      <c r="E76" s="530">
        <v>30</v>
      </c>
      <c r="F76" s="546">
        <f>744</f>
        <v>744</v>
      </c>
      <c r="G76" s="546">
        <f t="shared" ref="G76:G84" si="16">E76*F76</f>
        <v>22320</v>
      </c>
      <c r="H76" s="530" t="s">
        <v>74</v>
      </c>
      <c r="I76" s="547" t="s">
        <v>28</v>
      </c>
    </row>
    <row r="77" spans="1:18" s="145" customFormat="1" ht="15.95" customHeight="1" x14ac:dyDescent="0.2">
      <c r="A77" s="699">
        <v>10570030</v>
      </c>
      <c r="B77" s="530" t="s">
        <v>120</v>
      </c>
      <c r="C77" s="544" t="s">
        <v>367</v>
      </c>
      <c r="D77" s="545">
        <v>46843</v>
      </c>
      <c r="E77" s="530">
        <v>30</v>
      </c>
      <c r="F77" s="546">
        <v>16</v>
      </c>
      <c r="G77" s="546">
        <f t="shared" si="16"/>
        <v>480</v>
      </c>
      <c r="H77" s="530" t="s">
        <v>74</v>
      </c>
      <c r="I77" s="547" t="s">
        <v>28</v>
      </c>
    </row>
    <row r="78" spans="1:18" s="145" customFormat="1" ht="15.95" customHeight="1" x14ac:dyDescent="0.2">
      <c r="A78" s="699">
        <v>10570030</v>
      </c>
      <c r="B78" s="530" t="s">
        <v>120</v>
      </c>
      <c r="C78" s="544" t="s">
        <v>249</v>
      </c>
      <c r="D78" s="545">
        <v>46721</v>
      </c>
      <c r="E78" s="530">
        <v>30</v>
      </c>
      <c r="F78" s="546">
        <v>100</v>
      </c>
      <c r="G78" s="546">
        <f t="shared" ref="G78" si="17">E78*F78</f>
        <v>3000</v>
      </c>
      <c r="H78" s="530" t="s">
        <v>74</v>
      </c>
      <c r="I78" s="547" t="s">
        <v>28</v>
      </c>
    </row>
    <row r="79" spans="1:18" s="145" customFormat="1" ht="15.95" customHeight="1" x14ac:dyDescent="0.2">
      <c r="A79" s="542">
        <v>10570040</v>
      </c>
      <c r="B79" s="498" t="s">
        <v>108</v>
      </c>
      <c r="C79" s="575" t="s">
        <v>397</v>
      </c>
      <c r="D79" s="502">
        <v>46843</v>
      </c>
      <c r="E79" s="498">
        <v>30</v>
      </c>
      <c r="F79" s="499">
        <v>744</v>
      </c>
      <c r="G79" s="499">
        <f t="shared" si="16"/>
        <v>22320</v>
      </c>
      <c r="H79" s="531" t="s">
        <v>74</v>
      </c>
      <c r="I79" s="535" t="s">
        <v>28</v>
      </c>
    </row>
    <row r="80" spans="1:18" s="145" customFormat="1" ht="15.95" customHeight="1" x14ac:dyDescent="0.2">
      <c r="A80" s="542">
        <v>10570040</v>
      </c>
      <c r="B80" s="498" t="s">
        <v>108</v>
      </c>
      <c r="C80" s="575" t="s">
        <v>396</v>
      </c>
      <c r="D80" s="502">
        <v>46843</v>
      </c>
      <c r="E80" s="498">
        <v>30</v>
      </c>
      <c r="F80" s="499">
        <v>16</v>
      </c>
      <c r="G80" s="499">
        <f t="shared" si="16"/>
        <v>480</v>
      </c>
      <c r="H80" s="531" t="s">
        <v>74</v>
      </c>
      <c r="I80" s="535" t="s">
        <v>28</v>
      </c>
    </row>
    <row r="81" spans="1:9" s="145" customFormat="1" ht="15.95" customHeight="1" x14ac:dyDescent="0.2">
      <c r="A81" s="542">
        <v>10570040</v>
      </c>
      <c r="B81" s="498" t="s">
        <v>108</v>
      </c>
      <c r="C81" s="575" t="s">
        <v>187</v>
      </c>
      <c r="D81" s="502">
        <v>46417</v>
      </c>
      <c r="E81" s="498">
        <v>30</v>
      </c>
      <c r="F81" s="499">
        <v>30</v>
      </c>
      <c r="G81" s="499">
        <f>E81*F81</f>
        <v>900</v>
      </c>
      <c r="H81" s="531" t="s">
        <v>74</v>
      </c>
      <c r="I81" s="535" t="s">
        <v>28</v>
      </c>
    </row>
    <row r="82" spans="1:9" s="145" customFormat="1" ht="15.95" customHeight="1" x14ac:dyDescent="0.2">
      <c r="A82" s="542">
        <v>10570040</v>
      </c>
      <c r="B82" s="498" t="s">
        <v>108</v>
      </c>
      <c r="C82" s="575" t="s">
        <v>250</v>
      </c>
      <c r="D82" s="502">
        <v>46721</v>
      </c>
      <c r="E82" s="498">
        <v>30</v>
      </c>
      <c r="F82" s="499">
        <v>118</v>
      </c>
      <c r="G82" s="499">
        <f>E82*F82</f>
        <v>3540</v>
      </c>
      <c r="H82" s="531" t="s">
        <v>74</v>
      </c>
      <c r="I82" s="535" t="s">
        <v>28</v>
      </c>
    </row>
    <row r="83" spans="1:9" s="145" customFormat="1" ht="15.95" customHeight="1" x14ac:dyDescent="0.2">
      <c r="A83" s="698">
        <v>10570050</v>
      </c>
      <c r="B83" s="508" t="s">
        <v>71</v>
      </c>
      <c r="C83" s="718" t="s">
        <v>252</v>
      </c>
      <c r="D83" s="512">
        <v>46721</v>
      </c>
      <c r="E83" s="508">
        <v>30</v>
      </c>
      <c r="F83" s="509">
        <v>100</v>
      </c>
      <c r="G83" s="509">
        <f t="shared" si="16"/>
        <v>3000</v>
      </c>
      <c r="H83" s="530" t="s">
        <v>74</v>
      </c>
      <c r="I83" s="510" t="s">
        <v>28</v>
      </c>
    </row>
    <row r="84" spans="1:9" s="145" customFormat="1" ht="15.95" customHeight="1" x14ac:dyDescent="0.2">
      <c r="A84" s="698">
        <v>10570050</v>
      </c>
      <c r="B84" s="508" t="s">
        <v>71</v>
      </c>
      <c r="C84" s="718" t="s">
        <v>376</v>
      </c>
      <c r="D84" s="512">
        <v>46721</v>
      </c>
      <c r="E84" s="508">
        <v>30</v>
      </c>
      <c r="F84" s="509">
        <v>0</v>
      </c>
      <c r="G84" s="509">
        <f t="shared" si="16"/>
        <v>0</v>
      </c>
      <c r="H84" s="530" t="s">
        <v>74</v>
      </c>
      <c r="I84" s="510" t="s">
        <v>28</v>
      </c>
    </row>
    <row r="85" spans="1:9" s="145" customFormat="1" ht="15.95" customHeight="1" x14ac:dyDescent="0.2">
      <c r="A85" s="698">
        <v>10570050</v>
      </c>
      <c r="B85" s="508" t="s">
        <v>71</v>
      </c>
      <c r="C85" s="718" t="s">
        <v>261</v>
      </c>
      <c r="D85" s="512">
        <v>46843</v>
      </c>
      <c r="E85" s="508">
        <v>30</v>
      </c>
      <c r="F85" s="509">
        <v>0</v>
      </c>
      <c r="G85" s="509">
        <f t="shared" ref="G85:G94" si="18">E85*F85</f>
        <v>0</v>
      </c>
      <c r="H85" s="530" t="s">
        <v>74</v>
      </c>
      <c r="I85" s="510" t="s">
        <v>28</v>
      </c>
    </row>
    <row r="86" spans="1:9" s="145" customFormat="1" ht="15.95" customHeight="1" x14ac:dyDescent="0.2">
      <c r="A86" s="541" t="s">
        <v>143</v>
      </c>
      <c r="B86" s="531" t="s">
        <v>106</v>
      </c>
      <c r="C86" s="575" t="s">
        <v>257</v>
      </c>
      <c r="D86" s="502">
        <v>46721</v>
      </c>
      <c r="E86" s="531">
        <v>30</v>
      </c>
      <c r="F86" s="524">
        <v>100</v>
      </c>
      <c r="G86" s="524">
        <f t="shared" si="18"/>
        <v>3000</v>
      </c>
      <c r="H86" s="531" t="s">
        <v>74</v>
      </c>
      <c r="I86" s="540" t="s">
        <v>28</v>
      </c>
    </row>
    <row r="87" spans="1:9" s="720" customFormat="1" ht="15.95" customHeight="1" x14ac:dyDescent="0.2">
      <c r="A87" s="541" t="s">
        <v>143</v>
      </c>
      <c r="B87" s="531" t="s">
        <v>106</v>
      </c>
      <c r="C87" s="575" t="s">
        <v>186</v>
      </c>
      <c r="D87" s="502">
        <v>46571</v>
      </c>
      <c r="E87" s="531">
        <v>30</v>
      </c>
      <c r="F87" s="524">
        <v>0</v>
      </c>
      <c r="G87" s="524">
        <f t="shared" si="18"/>
        <v>0</v>
      </c>
      <c r="H87" s="531" t="s">
        <v>74</v>
      </c>
      <c r="I87" s="540" t="s">
        <v>28</v>
      </c>
    </row>
    <row r="88" spans="1:9" s="145" customFormat="1" ht="15.95" customHeight="1" x14ac:dyDescent="0.2">
      <c r="A88" s="541" t="s">
        <v>143</v>
      </c>
      <c r="B88" s="531" t="s">
        <v>106</v>
      </c>
      <c r="C88" s="575" t="s">
        <v>370</v>
      </c>
      <c r="D88" s="502">
        <v>46507</v>
      </c>
      <c r="E88" s="531">
        <v>30</v>
      </c>
      <c r="F88" s="524">
        <v>0</v>
      </c>
      <c r="G88" s="524">
        <f t="shared" si="18"/>
        <v>0</v>
      </c>
      <c r="H88" s="531" t="s">
        <v>74</v>
      </c>
      <c r="I88" s="540" t="s">
        <v>28</v>
      </c>
    </row>
    <row r="89" spans="1:9" ht="15.95" customHeight="1" x14ac:dyDescent="0.25">
      <c r="A89" s="698">
        <v>10570130</v>
      </c>
      <c r="B89" s="549" t="s">
        <v>101</v>
      </c>
      <c r="C89" s="511" t="s">
        <v>258</v>
      </c>
      <c r="D89" s="512">
        <v>46783</v>
      </c>
      <c r="E89" s="508">
        <v>100</v>
      </c>
      <c r="F89" s="509">
        <v>500</v>
      </c>
      <c r="G89" s="509">
        <f t="shared" si="18"/>
        <v>50000</v>
      </c>
      <c r="H89" s="530" t="s">
        <v>74</v>
      </c>
      <c r="I89" s="548" t="s">
        <v>28</v>
      </c>
    </row>
    <row r="90" spans="1:9" ht="15.95" customHeight="1" x14ac:dyDescent="0.25">
      <c r="A90" s="698">
        <v>10570130</v>
      </c>
      <c r="B90" s="549" t="s">
        <v>101</v>
      </c>
      <c r="C90" s="511" t="s">
        <v>398</v>
      </c>
      <c r="D90" s="512">
        <v>46965</v>
      </c>
      <c r="E90" s="508">
        <v>100</v>
      </c>
      <c r="F90" s="509">
        <v>5000</v>
      </c>
      <c r="G90" s="509">
        <f t="shared" si="18"/>
        <v>500000</v>
      </c>
      <c r="H90" s="530" t="s">
        <v>74</v>
      </c>
      <c r="I90" s="548" t="s">
        <v>28</v>
      </c>
    </row>
    <row r="91" spans="1:9" ht="15.95" customHeight="1" x14ac:dyDescent="0.25">
      <c r="A91" s="698">
        <v>10570130</v>
      </c>
      <c r="B91" s="549" t="s">
        <v>101</v>
      </c>
      <c r="C91" s="511" t="s">
        <v>399</v>
      </c>
      <c r="D91" s="512">
        <v>47057</v>
      </c>
      <c r="E91" s="508">
        <v>100</v>
      </c>
      <c r="F91" s="509">
        <f>2465+1500</f>
        <v>3965</v>
      </c>
      <c r="G91" s="509">
        <f t="shared" si="18"/>
        <v>396500</v>
      </c>
      <c r="H91" s="530" t="s">
        <v>74</v>
      </c>
      <c r="I91" s="548" t="s">
        <v>28</v>
      </c>
    </row>
    <row r="92" spans="1:9" ht="15.95" customHeight="1" x14ac:dyDescent="0.25">
      <c r="A92" s="543">
        <v>40240100</v>
      </c>
      <c r="B92" s="536" t="s">
        <v>29</v>
      </c>
      <c r="C92" s="538" t="s">
        <v>400</v>
      </c>
      <c r="D92" s="497">
        <v>46811</v>
      </c>
      <c r="E92" s="536">
        <v>25</v>
      </c>
      <c r="F92" s="537">
        <v>2170</v>
      </c>
      <c r="G92" s="537">
        <f t="shared" si="18"/>
        <v>54250</v>
      </c>
      <c r="H92" s="536" t="s">
        <v>74</v>
      </c>
      <c r="I92" s="500" t="s">
        <v>28</v>
      </c>
    </row>
    <row r="93" spans="1:9" ht="15.95" customHeight="1" x14ac:dyDescent="0.25">
      <c r="A93" s="543">
        <v>40240100</v>
      </c>
      <c r="B93" s="536" t="s">
        <v>29</v>
      </c>
      <c r="C93" s="538" t="s">
        <v>401</v>
      </c>
      <c r="D93" s="497">
        <v>46721</v>
      </c>
      <c r="E93" s="536">
        <v>25</v>
      </c>
      <c r="F93" s="537">
        <v>3300</v>
      </c>
      <c r="G93" s="537">
        <f t="shared" si="18"/>
        <v>82500</v>
      </c>
      <c r="H93" s="536" t="s">
        <v>74</v>
      </c>
      <c r="I93" s="500" t="s">
        <v>28</v>
      </c>
    </row>
    <row r="94" spans="1:9" ht="15.95" customHeight="1" x14ac:dyDescent="0.25">
      <c r="A94" s="543">
        <v>40240100</v>
      </c>
      <c r="B94" s="536" t="s">
        <v>29</v>
      </c>
      <c r="C94" s="538" t="s">
        <v>254</v>
      </c>
      <c r="D94" s="497">
        <v>46507</v>
      </c>
      <c r="E94" s="536">
        <v>25</v>
      </c>
      <c r="F94" s="537">
        <v>1870</v>
      </c>
      <c r="G94" s="537">
        <f t="shared" si="18"/>
        <v>46750</v>
      </c>
      <c r="H94" s="536" t="s">
        <v>74</v>
      </c>
      <c r="I94" s="500" t="s">
        <v>28</v>
      </c>
    </row>
    <row r="95" spans="1:9" ht="15.95" customHeight="1" x14ac:dyDescent="0.25">
      <c r="A95" s="713"/>
      <c r="B95" s="714"/>
      <c r="C95" s="704"/>
      <c r="D95" s="715"/>
      <c r="E95" s="714"/>
      <c r="F95" s="716"/>
      <c r="G95" s="719"/>
      <c r="H95" s="717"/>
      <c r="I95" s="717"/>
    </row>
    <row r="96" spans="1:9" ht="15.95" customHeight="1" x14ac:dyDescent="0.25">
      <c r="A96" s="551" t="s">
        <v>79</v>
      </c>
      <c r="B96" s="561"/>
      <c r="C96" s="562"/>
      <c r="D96" s="562"/>
      <c r="E96" s="563"/>
      <c r="F96" s="564"/>
      <c r="G96" s="565"/>
      <c r="H96" s="566"/>
      <c r="I96" s="566"/>
    </row>
    <row r="97" spans="1:9" ht="15.95" customHeight="1" x14ac:dyDescent="0.25">
      <c r="A97" s="721">
        <v>10570030</v>
      </c>
      <c r="B97" s="722" t="s">
        <v>120</v>
      </c>
      <c r="C97" s="723" t="s">
        <v>367</v>
      </c>
      <c r="D97" s="724">
        <v>46842</v>
      </c>
      <c r="E97" s="725">
        <v>30</v>
      </c>
      <c r="F97" s="726">
        <v>0</v>
      </c>
      <c r="G97" s="727">
        <f t="shared" ref="G97:G102" si="19">E97*F97</f>
        <v>0</v>
      </c>
      <c r="H97" s="549" t="s">
        <v>74</v>
      </c>
      <c r="I97" s="510" t="s">
        <v>80</v>
      </c>
    </row>
    <row r="98" spans="1:9" ht="15.95" customHeight="1" x14ac:dyDescent="0.25">
      <c r="A98" s="721">
        <v>10570030</v>
      </c>
      <c r="B98" s="722" t="s">
        <v>120</v>
      </c>
      <c r="C98" s="723" t="s">
        <v>184</v>
      </c>
      <c r="D98" s="724">
        <v>46386</v>
      </c>
      <c r="E98" s="725">
        <v>30</v>
      </c>
      <c r="F98" s="726">
        <v>10</v>
      </c>
      <c r="G98" s="727">
        <f t="shared" si="19"/>
        <v>300</v>
      </c>
      <c r="H98" s="549" t="s">
        <v>74</v>
      </c>
      <c r="I98" s="510" t="s">
        <v>80</v>
      </c>
    </row>
    <row r="99" spans="1:9" ht="15.95" customHeight="1" x14ac:dyDescent="0.25">
      <c r="A99" s="721">
        <v>10570030</v>
      </c>
      <c r="B99" s="722" t="s">
        <v>120</v>
      </c>
      <c r="C99" s="723" t="s">
        <v>184</v>
      </c>
      <c r="D99" s="724">
        <v>46357</v>
      </c>
      <c r="E99" s="725">
        <v>30</v>
      </c>
      <c r="F99" s="726">
        <v>0</v>
      </c>
      <c r="G99" s="727">
        <f t="shared" si="19"/>
        <v>0</v>
      </c>
      <c r="H99" s="549" t="s">
        <v>74</v>
      </c>
      <c r="I99" s="510" t="s">
        <v>80</v>
      </c>
    </row>
    <row r="100" spans="1:9" ht="15.95" customHeight="1" x14ac:dyDescent="0.25">
      <c r="A100" s="576">
        <v>10570040</v>
      </c>
      <c r="B100" s="569" t="s">
        <v>108</v>
      </c>
      <c r="C100" s="570" t="s">
        <v>187</v>
      </c>
      <c r="D100" s="628">
        <v>46388</v>
      </c>
      <c r="E100" s="571">
        <v>30</v>
      </c>
      <c r="F100" s="572">
        <v>0</v>
      </c>
      <c r="G100" s="573">
        <f t="shared" si="19"/>
        <v>0</v>
      </c>
      <c r="H100" s="574" t="s">
        <v>74</v>
      </c>
      <c r="I100" s="504" t="s">
        <v>80</v>
      </c>
    </row>
    <row r="101" spans="1:9" ht="15.95" customHeight="1" x14ac:dyDescent="0.25">
      <c r="A101" s="576">
        <v>10570040</v>
      </c>
      <c r="B101" s="569" t="s">
        <v>108</v>
      </c>
      <c r="C101" s="570" t="s">
        <v>367</v>
      </c>
      <c r="D101" s="628">
        <v>46813</v>
      </c>
      <c r="E101" s="571">
        <v>30</v>
      </c>
      <c r="F101" s="572">
        <v>0</v>
      </c>
      <c r="G101" s="573">
        <f t="shared" si="19"/>
        <v>0</v>
      </c>
      <c r="H101" s="574" t="s">
        <v>74</v>
      </c>
      <c r="I101" s="504" t="s">
        <v>80</v>
      </c>
    </row>
    <row r="102" spans="1:9" ht="15.95" customHeight="1" x14ac:dyDescent="0.25">
      <c r="A102" s="721">
        <v>10570050</v>
      </c>
      <c r="B102" s="722" t="s">
        <v>71</v>
      </c>
      <c r="C102" s="723" t="s">
        <v>368</v>
      </c>
      <c r="D102" s="724">
        <v>46692</v>
      </c>
      <c r="E102" s="725">
        <v>30</v>
      </c>
      <c r="F102" s="726">
        <v>156</v>
      </c>
      <c r="G102" s="727">
        <f t="shared" si="19"/>
        <v>4680</v>
      </c>
      <c r="H102" s="549" t="s">
        <v>74</v>
      </c>
      <c r="I102" s="510" t="s">
        <v>80</v>
      </c>
    </row>
    <row r="103" spans="1:9" ht="15.95" customHeight="1" x14ac:dyDescent="0.25">
      <c r="A103" s="721">
        <v>10570050</v>
      </c>
      <c r="B103" s="722" t="s">
        <v>71</v>
      </c>
      <c r="C103" s="723" t="s">
        <v>367</v>
      </c>
      <c r="D103" s="724">
        <v>46842</v>
      </c>
      <c r="E103" s="725">
        <v>30</v>
      </c>
      <c r="F103" s="726">
        <v>0</v>
      </c>
      <c r="G103" s="727">
        <f t="shared" ref="G103:G108" si="20">E103*F103</f>
        <v>0</v>
      </c>
      <c r="H103" s="549" t="s">
        <v>74</v>
      </c>
      <c r="I103" s="510" t="s">
        <v>80</v>
      </c>
    </row>
    <row r="104" spans="1:9" ht="15.95" customHeight="1" x14ac:dyDescent="0.25">
      <c r="A104" s="576">
        <v>10570060</v>
      </c>
      <c r="B104" s="569" t="s">
        <v>106</v>
      </c>
      <c r="C104" s="570" t="s">
        <v>369</v>
      </c>
      <c r="D104" s="628">
        <v>46721</v>
      </c>
      <c r="E104" s="571">
        <v>30</v>
      </c>
      <c r="F104" s="572">
        <v>0</v>
      </c>
      <c r="G104" s="573">
        <f t="shared" si="20"/>
        <v>0</v>
      </c>
      <c r="H104" s="574" t="s">
        <v>74</v>
      </c>
      <c r="I104" s="504" t="s">
        <v>80</v>
      </c>
    </row>
    <row r="105" spans="1:9" ht="15.95" customHeight="1" x14ac:dyDescent="0.25">
      <c r="A105" s="576">
        <v>10570060</v>
      </c>
      <c r="B105" s="569" t="s">
        <v>106</v>
      </c>
      <c r="C105" s="570" t="s">
        <v>260</v>
      </c>
      <c r="D105" s="628">
        <v>46721</v>
      </c>
      <c r="E105" s="571">
        <v>30</v>
      </c>
      <c r="F105" s="572">
        <v>0</v>
      </c>
      <c r="G105" s="573">
        <f t="shared" si="20"/>
        <v>0</v>
      </c>
      <c r="H105" s="574" t="s">
        <v>74</v>
      </c>
      <c r="I105" s="504" t="s">
        <v>80</v>
      </c>
    </row>
    <row r="106" spans="1:9" ht="15.95" customHeight="1" x14ac:dyDescent="0.25">
      <c r="A106" s="577" t="s">
        <v>140</v>
      </c>
      <c r="B106" s="503" t="s">
        <v>141</v>
      </c>
      <c r="C106" s="557" t="s">
        <v>412</v>
      </c>
      <c r="D106" s="505">
        <v>46446</v>
      </c>
      <c r="E106" s="558">
        <v>100</v>
      </c>
      <c r="F106" s="559">
        <v>2287</v>
      </c>
      <c r="G106" s="559">
        <f t="shared" si="20"/>
        <v>228700</v>
      </c>
      <c r="H106" s="503" t="s">
        <v>74</v>
      </c>
      <c r="I106" s="560" t="s">
        <v>80</v>
      </c>
    </row>
    <row r="107" spans="1:9" x14ac:dyDescent="0.25">
      <c r="A107" s="577" t="s">
        <v>140</v>
      </c>
      <c r="B107" s="503" t="s">
        <v>141</v>
      </c>
      <c r="C107" s="557" t="s">
        <v>371</v>
      </c>
      <c r="D107" s="505">
        <v>46753</v>
      </c>
      <c r="E107" s="558">
        <v>100</v>
      </c>
      <c r="F107" s="559">
        <v>0</v>
      </c>
      <c r="G107" s="559">
        <f t="shared" si="20"/>
        <v>0</v>
      </c>
      <c r="H107" s="503" t="s">
        <v>74</v>
      </c>
      <c r="I107" s="560" t="s">
        <v>80</v>
      </c>
    </row>
    <row r="108" spans="1:9" x14ac:dyDescent="0.25">
      <c r="A108" s="578">
        <v>40240100</v>
      </c>
      <c r="B108" s="552" t="s">
        <v>29</v>
      </c>
      <c r="C108" s="553" t="s">
        <v>372</v>
      </c>
      <c r="D108" s="554">
        <v>46295</v>
      </c>
      <c r="E108" s="567">
        <v>25</v>
      </c>
      <c r="F108" s="568">
        <v>1042</v>
      </c>
      <c r="G108" s="555">
        <f t="shared" si="20"/>
        <v>26050</v>
      </c>
      <c r="H108" s="552" t="s">
        <v>74</v>
      </c>
      <c r="I108" s="556" t="s">
        <v>80</v>
      </c>
    </row>
    <row r="109" spans="1:9" x14ac:dyDescent="0.25">
      <c r="A109" s="578">
        <v>40240100</v>
      </c>
      <c r="B109" s="552" t="s">
        <v>29</v>
      </c>
      <c r="C109" s="553" t="s">
        <v>410</v>
      </c>
      <c r="D109" s="554">
        <v>46690</v>
      </c>
      <c r="E109" s="567">
        <v>25</v>
      </c>
      <c r="F109" s="568">
        <v>1600</v>
      </c>
      <c r="G109" s="555">
        <f t="shared" ref="G109:G113" si="21">E109*F109</f>
        <v>40000</v>
      </c>
      <c r="H109" s="552" t="s">
        <v>74</v>
      </c>
      <c r="I109" s="556" t="s">
        <v>80</v>
      </c>
    </row>
    <row r="110" spans="1:9" x14ac:dyDescent="0.25">
      <c r="A110" s="578">
        <v>40240100</v>
      </c>
      <c r="B110" s="552" t="s">
        <v>29</v>
      </c>
      <c r="C110" s="553" t="s">
        <v>410</v>
      </c>
      <c r="D110" s="554">
        <v>46690</v>
      </c>
      <c r="E110" s="567">
        <v>25</v>
      </c>
      <c r="F110" s="568">
        <v>1600</v>
      </c>
      <c r="G110" s="555">
        <f t="shared" si="21"/>
        <v>40000</v>
      </c>
      <c r="H110" s="552" t="s">
        <v>74</v>
      </c>
      <c r="I110" s="556" t="s">
        <v>80</v>
      </c>
    </row>
    <row r="111" spans="1:9" x14ac:dyDescent="0.25">
      <c r="A111" s="578">
        <v>40240100</v>
      </c>
      <c r="B111" s="552" t="s">
        <v>29</v>
      </c>
      <c r="C111" s="553" t="s">
        <v>410</v>
      </c>
      <c r="D111" s="554">
        <v>46690</v>
      </c>
      <c r="E111" s="567">
        <v>25</v>
      </c>
      <c r="F111" s="568">
        <v>1600</v>
      </c>
      <c r="G111" s="555">
        <f t="shared" si="21"/>
        <v>40000</v>
      </c>
      <c r="H111" s="552" t="s">
        <v>74</v>
      </c>
      <c r="I111" s="556" t="s">
        <v>80</v>
      </c>
    </row>
    <row r="112" spans="1:9" x14ac:dyDescent="0.25">
      <c r="A112" s="578">
        <v>40240100</v>
      </c>
      <c r="B112" s="552" t="s">
        <v>29</v>
      </c>
      <c r="C112" s="553" t="s">
        <v>262</v>
      </c>
      <c r="D112" s="554">
        <v>46419</v>
      </c>
      <c r="E112" s="567">
        <v>25</v>
      </c>
      <c r="F112" s="568">
        <v>155</v>
      </c>
      <c r="G112" s="555">
        <f t="shared" si="21"/>
        <v>3875</v>
      </c>
      <c r="H112" s="552" t="s">
        <v>74</v>
      </c>
      <c r="I112" s="556" t="s">
        <v>80</v>
      </c>
    </row>
    <row r="113" spans="1:9" x14ac:dyDescent="0.25">
      <c r="A113" s="578">
        <v>40240100</v>
      </c>
      <c r="B113" s="552" t="s">
        <v>29</v>
      </c>
      <c r="C113" s="553" t="s">
        <v>410</v>
      </c>
      <c r="D113" s="554">
        <v>46690</v>
      </c>
      <c r="E113" s="567">
        <v>25</v>
      </c>
      <c r="F113" s="568">
        <v>1600</v>
      </c>
      <c r="G113" s="555">
        <f t="shared" si="21"/>
        <v>40000</v>
      </c>
      <c r="H113" s="552" t="s">
        <v>74</v>
      </c>
      <c r="I113" s="556" t="s">
        <v>80</v>
      </c>
    </row>
    <row r="114" spans="1:9" x14ac:dyDescent="0.25">
      <c r="A114" s="578">
        <v>40240100</v>
      </c>
      <c r="B114" s="552" t="s">
        <v>29</v>
      </c>
      <c r="C114" s="553" t="s">
        <v>410</v>
      </c>
      <c r="D114" s="554">
        <v>46690</v>
      </c>
      <c r="E114" s="567">
        <v>25</v>
      </c>
      <c r="F114" s="568">
        <v>1600</v>
      </c>
      <c r="G114" s="555">
        <f t="shared" ref="G114" si="22">E114*F114</f>
        <v>40000</v>
      </c>
      <c r="H114" s="552" t="s">
        <v>74</v>
      </c>
      <c r="I114" s="556" t="s">
        <v>80</v>
      </c>
    </row>
    <row r="115" spans="1:9" x14ac:dyDescent="0.25">
      <c r="A115" s="578">
        <v>40240100</v>
      </c>
      <c r="B115" s="552" t="s">
        <v>29</v>
      </c>
      <c r="C115" s="553" t="s">
        <v>254</v>
      </c>
      <c r="D115" s="554">
        <v>46507</v>
      </c>
      <c r="E115" s="567">
        <v>25</v>
      </c>
      <c r="F115" s="568">
        <v>1050</v>
      </c>
      <c r="G115" s="555">
        <f>E115*F115</f>
        <v>26250</v>
      </c>
      <c r="H115" s="552" t="s">
        <v>74</v>
      </c>
      <c r="I115" s="556" t="s">
        <v>80</v>
      </c>
    </row>
  </sheetData>
  <phoneticPr fontId="5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view="pageBreakPreview" topLeftCell="A8" zoomScaleNormal="100" zoomScaleSheetLayoutView="100" workbookViewId="0">
      <selection activeCell="J12" sqref="J12:M12"/>
    </sheetView>
  </sheetViews>
  <sheetFormatPr defaultRowHeight="15" x14ac:dyDescent="0.25"/>
  <cols>
    <col min="1" max="1" width="11.28515625" customWidth="1"/>
    <col min="2" max="2" width="11.7109375" bestFit="1" customWidth="1"/>
    <col min="3" max="3" width="11.85546875" bestFit="1" customWidth="1"/>
    <col min="4" max="4" width="11.28515625" customWidth="1"/>
    <col min="5" max="5" width="7.85546875" customWidth="1"/>
    <col min="6" max="7" width="11.5703125" customWidth="1"/>
    <col min="8" max="8" width="12.140625" customWidth="1"/>
    <col min="9" max="9" width="11.42578125" customWidth="1"/>
    <col min="10" max="10" width="33.7109375" customWidth="1"/>
    <col min="11" max="11" width="13" customWidth="1"/>
    <col min="12" max="12" width="13.42578125" customWidth="1"/>
    <col min="13" max="13" width="19.28515625" customWidth="1"/>
  </cols>
  <sheetData>
    <row r="1" spans="1:13" x14ac:dyDescent="0.25">
      <c r="A1" s="666" t="s">
        <v>196</v>
      </c>
    </row>
    <row r="3" spans="1:13" x14ac:dyDescent="0.25">
      <c r="A3" s="667" t="s">
        <v>232</v>
      </c>
      <c r="F3" s="736" t="s">
        <v>233</v>
      </c>
      <c r="G3" s="735"/>
      <c r="H3" s="735"/>
      <c r="I3" s="735"/>
    </row>
    <row r="4" spans="1:13" ht="15" customHeight="1" x14ac:dyDescent="0.25">
      <c r="A4" s="737"/>
      <c r="B4" s="668"/>
      <c r="C4" s="668"/>
      <c r="D4" s="668"/>
      <c r="E4" s="668"/>
      <c r="F4" s="738"/>
      <c r="G4" s="668"/>
      <c r="H4" s="668"/>
      <c r="I4" s="668"/>
    </row>
    <row r="5" spans="1:13" ht="15" customHeight="1" x14ac:dyDescent="0.25">
      <c r="A5" s="668"/>
      <c r="B5" s="669" t="s">
        <v>30</v>
      </c>
      <c r="C5" s="670" t="s">
        <v>197</v>
      </c>
      <c r="D5" s="670" t="s">
        <v>198</v>
      </c>
      <c r="F5" s="668"/>
      <c r="G5" s="669" t="s">
        <v>30</v>
      </c>
      <c r="H5" s="670" t="s">
        <v>197</v>
      </c>
      <c r="I5" s="670" t="s">
        <v>198</v>
      </c>
    </row>
    <row r="6" spans="1:13" ht="33" customHeight="1" x14ac:dyDescent="0.25">
      <c r="A6" s="671" t="s">
        <v>43</v>
      </c>
      <c r="B6" s="672">
        <f>'ACT-RDT-PQ BY AMS'!B10</f>
        <v>716625</v>
      </c>
      <c r="C6" s="672">
        <f>'ACT-RDT-PQ BY AMS'!G10</f>
        <v>284070</v>
      </c>
      <c r="D6" s="672">
        <f>'ACT-RDT-PQ BY AMS'!H10</f>
        <v>2056100</v>
      </c>
      <c r="F6" s="671" t="s">
        <v>13</v>
      </c>
      <c r="G6" s="672">
        <f>'ACT-RDT-PQ BY AMS'!K10</f>
        <v>1313150</v>
      </c>
      <c r="H6" s="672">
        <f>'ACT-RDT-PQ BY AMS'!P10</f>
        <v>1737450</v>
      </c>
      <c r="I6" s="672">
        <f>'ACT-RDT-PQ BY AMS'!Q10</f>
        <v>9500400</v>
      </c>
    </row>
    <row r="7" spans="1:13" ht="30" customHeight="1" x14ac:dyDescent="0.25">
      <c r="A7" s="673" t="s">
        <v>199</v>
      </c>
      <c r="B7" s="694">
        <f>'ACT-RDT-PQ BY AMS'!B19</f>
        <v>2.1498750000000002</v>
      </c>
      <c r="C7" s="694">
        <f>'ACT-RDT-PQ BY AMS'!C19</f>
        <v>0.93033529411764715</v>
      </c>
      <c r="D7" s="694">
        <f>'ACT-RDT-PQ BY AMS'!H19</f>
        <v>1.4774371257485028</v>
      </c>
      <c r="F7" s="673" t="s">
        <v>201</v>
      </c>
      <c r="G7" s="696">
        <f>'ACT-RDT-PQ BY AMS'!K19</f>
        <v>3.9394500000000003</v>
      </c>
      <c r="H7" s="696">
        <f>'ACT-RDT-PQ BY AMS'!L19</f>
        <v>6.5715882352941177</v>
      </c>
      <c r="I7" s="696">
        <f>'ACT-RDT-PQ BY AMS'!Q19</f>
        <v>6.8266347305389221</v>
      </c>
    </row>
    <row r="8" spans="1:13" ht="32.25" customHeight="1" x14ac:dyDescent="0.25">
      <c r="A8" s="675" t="s">
        <v>200</v>
      </c>
      <c r="B8" s="672">
        <f>'ACT-RDT-PQ BY AMS'!B11</f>
        <v>0</v>
      </c>
      <c r="C8" s="672">
        <f>'ACT-RDT-PQ BY AMS'!G11</f>
        <v>110190</v>
      </c>
      <c r="D8" s="672">
        <f>'ACT-RDT-PQ BY AMS'!H11</f>
        <v>0</v>
      </c>
      <c r="F8" s="675" t="s">
        <v>200</v>
      </c>
      <c r="G8" s="672">
        <f>'ACT-RDT-PQ BY AMS'!K11</f>
        <v>2000000</v>
      </c>
      <c r="H8" s="672">
        <f>'ACT-RDT-PQ BY AMS'!P11</f>
        <v>1539780</v>
      </c>
      <c r="I8" s="672">
        <f>'ACT-RDT-PQ BY AMS'!Q11</f>
        <v>0</v>
      </c>
    </row>
    <row r="9" spans="1:13" ht="30" x14ac:dyDescent="0.25">
      <c r="A9" s="673" t="s">
        <v>199</v>
      </c>
      <c r="B9" s="694">
        <f>'ACT-RDT-PQ BY AMS'!B20</f>
        <v>0</v>
      </c>
      <c r="C9" s="694">
        <f>'ACT-RDT-PQ BY AMS'!C20</f>
        <v>0.43544117647058828</v>
      </c>
      <c r="D9" s="694">
        <f>'ACT-RDT-PQ BY AMS'!H20</f>
        <v>0</v>
      </c>
      <c r="F9" s="673" t="s">
        <v>201</v>
      </c>
      <c r="G9" s="674">
        <f>'ACT-RDT-PQ BY AMS'!K20</f>
        <v>6</v>
      </c>
      <c r="H9" s="696">
        <f>'ACT-RDT-PQ BY AMS'!L20</f>
        <v>7.4497235294117656</v>
      </c>
      <c r="I9" s="696">
        <f>'ACT-RDT-PQ BY AMS'!Q20</f>
        <v>0</v>
      </c>
    </row>
    <row r="10" spans="1:13" x14ac:dyDescent="0.25">
      <c r="A10" s="676" t="s">
        <v>15</v>
      </c>
      <c r="B10" s="677">
        <f t="shared" ref="B10:D10" si="0">B6+B8</f>
        <v>716625</v>
      </c>
      <c r="C10" s="677">
        <f t="shared" si="0"/>
        <v>394260</v>
      </c>
      <c r="D10" s="677">
        <f t="shared" si="0"/>
        <v>2056100</v>
      </c>
      <c r="F10" s="676" t="s">
        <v>15</v>
      </c>
      <c r="G10" s="677">
        <f>G8+G6</f>
        <v>3313150</v>
      </c>
      <c r="H10" s="677">
        <f>H8+H6</f>
        <v>3277230</v>
      </c>
      <c r="I10" s="677">
        <f>I8+I6</f>
        <v>9500400</v>
      </c>
    </row>
    <row r="11" spans="1:13" ht="30" x14ac:dyDescent="0.25">
      <c r="A11" s="678" t="s">
        <v>199</v>
      </c>
      <c r="B11" s="695">
        <f>'ACT-RDT-PQ BY AMS'!B18</f>
        <v>2.1498750000000002</v>
      </c>
      <c r="C11" s="695">
        <f>'ACT-RDT-PQ BY AMS'!C18:G18</f>
        <v>1.3657764705882354</v>
      </c>
      <c r="D11" s="695">
        <f>'ACT-RDT-PQ BY AMS'!H18</f>
        <v>1.4774371257485028</v>
      </c>
      <c r="F11" s="678" t="s">
        <v>202</v>
      </c>
      <c r="G11" s="697">
        <f>'ACT-RDT-PQ BY AMS'!K18</f>
        <v>9.9394500000000008</v>
      </c>
      <c r="H11" s="697">
        <f>'ACT-RDT-PQ BY AMS'!L18</f>
        <v>14.021311764705883</v>
      </c>
      <c r="I11" s="697">
        <f>'ACT-RDT-PQ BY AMS'!Q18</f>
        <v>6.8266347305389221</v>
      </c>
    </row>
    <row r="12" spans="1:13" ht="41.25" customHeight="1" x14ac:dyDescent="0.25">
      <c r="A12" s="679"/>
      <c r="B12" s="668"/>
      <c r="C12" s="668"/>
      <c r="D12" s="668"/>
      <c r="I12" s="668"/>
      <c r="J12" s="1035" t="s">
        <v>242</v>
      </c>
      <c r="K12" s="1035"/>
      <c r="L12" s="1035"/>
      <c r="M12" s="1035"/>
    </row>
    <row r="13" spans="1:13" ht="46.5" customHeight="1" x14ac:dyDescent="0.25">
      <c r="A13" s="679"/>
      <c r="B13" s="668"/>
      <c r="C13" s="668"/>
      <c r="D13" s="668"/>
      <c r="J13" s="740" t="s">
        <v>41</v>
      </c>
      <c r="K13" s="741" t="s">
        <v>40</v>
      </c>
      <c r="L13" s="741" t="s">
        <v>123</v>
      </c>
      <c r="M13" s="741" t="s">
        <v>234</v>
      </c>
    </row>
    <row r="14" spans="1:13" ht="31.5" customHeight="1" x14ac:dyDescent="0.25">
      <c r="J14" s="739" t="s">
        <v>235</v>
      </c>
      <c r="K14" s="195">
        <f>' Other A.M.Drugs BY AMS'!B12</f>
        <v>0</v>
      </c>
      <c r="L14" s="195">
        <f>' Other A.M.Drugs BY AMS'!M12</f>
        <v>624400</v>
      </c>
      <c r="M14" s="195">
        <f>K14+L14</f>
        <v>624400</v>
      </c>
    </row>
    <row r="15" spans="1:13" ht="27" customHeight="1" x14ac:dyDescent="0.25">
      <c r="J15" s="739" t="s">
        <v>236</v>
      </c>
      <c r="K15" s="195">
        <f>' Other A.M.Drugs BY AMS'!C12</f>
        <v>55854</v>
      </c>
      <c r="L15" s="195">
        <f>' Other A.M.Drugs BY AMS'!N12</f>
        <v>27000</v>
      </c>
      <c r="M15" s="195">
        <f t="shared" ref="M15:M20" si="1">K15+L15</f>
        <v>82854</v>
      </c>
    </row>
    <row r="16" spans="1:13" x14ac:dyDescent="0.25">
      <c r="J16" s="739" t="s">
        <v>237</v>
      </c>
      <c r="K16" s="195">
        <f>' Other A.M.Drugs BY AMS'!D12</f>
        <v>19516</v>
      </c>
      <c r="L16" s="195">
        <f>' Other A.M.Drugs BY AMS'!O12</f>
        <v>16000</v>
      </c>
      <c r="M16" s="195">
        <f t="shared" si="1"/>
        <v>35516</v>
      </c>
    </row>
    <row r="17" spans="10:13" ht="23.25" customHeight="1" x14ac:dyDescent="0.25">
      <c r="J17" s="739" t="s">
        <v>238</v>
      </c>
      <c r="K17" s="195">
        <f>' Other A.M.Drugs BY AMS'!E12</f>
        <v>25418</v>
      </c>
      <c r="L17" s="195">
        <f>' Other A.M.Drugs BY AMS'!P12</f>
        <v>0</v>
      </c>
      <c r="M17" s="195">
        <f t="shared" si="1"/>
        <v>25418</v>
      </c>
    </row>
    <row r="18" spans="10:13" ht="23.25" customHeight="1" x14ac:dyDescent="0.25">
      <c r="J18" s="739" t="s">
        <v>239</v>
      </c>
      <c r="K18" s="195">
        <f>' Other A.M.Drugs BY AMS'!F12</f>
        <v>1760</v>
      </c>
      <c r="L18" s="195">
        <f>' Other A.M.Drugs BY AMS'!Q12</f>
        <v>10000</v>
      </c>
      <c r="M18" s="195">
        <f t="shared" si="1"/>
        <v>11760</v>
      </c>
    </row>
    <row r="19" spans="10:13" ht="23.25" customHeight="1" x14ac:dyDescent="0.25">
      <c r="J19" s="739" t="s">
        <v>240</v>
      </c>
      <c r="K19" s="195">
        <f>' Other A.M.Drugs BY AMS'!G12</f>
        <v>52200</v>
      </c>
      <c r="L19" s="195">
        <f>' Other A.M.Drugs BY AMS'!R12</f>
        <v>500000</v>
      </c>
      <c r="M19" s="195">
        <f t="shared" si="1"/>
        <v>552200</v>
      </c>
    </row>
    <row r="20" spans="10:13" ht="29.25" customHeight="1" x14ac:dyDescent="0.25">
      <c r="J20" s="739" t="s">
        <v>241</v>
      </c>
      <c r="K20" s="195">
        <f>' Other A.M.Drugs BY AMS'!J12</f>
        <v>2433</v>
      </c>
      <c r="L20" s="195">
        <f>' Other A.M.Drugs BY AMS'!U12</f>
        <v>0</v>
      </c>
      <c r="M20" s="195">
        <f t="shared" si="1"/>
        <v>2433</v>
      </c>
    </row>
  </sheetData>
  <mergeCells count="1">
    <mergeCell ref="J12:M12"/>
  </mergeCells>
  <pageMargins left="0.7" right="0.7" top="0.75" bottom="0.75" header="0.3" footer="0.3"/>
  <pageSetup scale="89" orientation="portrait" r:id="rId1"/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workbookViewId="0">
      <selection activeCell="D64" sqref="D64"/>
    </sheetView>
  </sheetViews>
  <sheetFormatPr defaultRowHeight="15" x14ac:dyDescent="0.25"/>
  <cols>
    <col min="2" max="2" width="19.5703125" customWidth="1"/>
    <col min="3" max="3" width="14.85546875" customWidth="1"/>
    <col min="10" max="10" width="10.85546875" customWidth="1"/>
    <col min="11" max="11" width="19.7109375" customWidth="1"/>
    <col min="12" max="12" width="32.28515625" customWidth="1"/>
    <col min="14" max="14" width="17.42578125" customWidth="1"/>
    <col min="15" max="15" width="13.28515625" customWidth="1"/>
  </cols>
  <sheetData>
    <row r="1" spans="2:15" ht="28.5" customHeight="1" x14ac:dyDescent="0.25">
      <c r="B1" s="748" t="s">
        <v>263</v>
      </c>
      <c r="D1" s="1"/>
      <c r="E1" s="749"/>
      <c r="K1" s="750"/>
    </row>
    <row r="2" spans="2:15" ht="60" x14ac:dyDescent="0.25">
      <c r="B2" s="751" t="s">
        <v>264</v>
      </c>
      <c r="C2" s="752" t="s">
        <v>265</v>
      </c>
      <c r="D2" s="753" t="s">
        <v>266</v>
      </c>
      <c r="E2" s="753" t="s">
        <v>267</v>
      </c>
      <c r="F2" s="753" t="s">
        <v>268</v>
      </c>
      <c r="G2" s="753" t="s">
        <v>269</v>
      </c>
      <c r="H2" s="753" t="s">
        <v>270</v>
      </c>
      <c r="I2" s="753" t="s">
        <v>271</v>
      </c>
      <c r="J2" s="753" t="s">
        <v>272</v>
      </c>
      <c r="K2" s="754" t="s">
        <v>273</v>
      </c>
      <c r="L2" s="754"/>
    </row>
    <row r="3" spans="2:15" x14ac:dyDescent="0.25">
      <c r="B3" s="755" t="s">
        <v>274</v>
      </c>
      <c r="C3" s="755" t="s">
        <v>275</v>
      </c>
      <c r="D3" s="756">
        <v>11100</v>
      </c>
      <c r="E3" s="755">
        <v>0</v>
      </c>
      <c r="F3" s="755">
        <v>0</v>
      </c>
      <c r="G3" s="755">
        <v>0</v>
      </c>
      <c r="H3" s="755">
        <v>0</v>
      </c>
      <c r="I3" s="755">
        <v>0</v>
      </c>
      <c r="J3" s="755" t="s">
        <v>276</v>
      </c>
      <c r="K3" s="755" t="s">
        <v>277</v>
      </c>
      <c r="L3" s="757" t="s">
        <v>278</v>
      </c>
    </row>
    <row r="4" spans="2:15" x14ac:dyDescent="0.25">
      <c r="B4" s="755" t="s">
        <v>279</v>
      </c>
      <c r="C4" s="755" t="s">
        <v>280</v>
      </c>
      <c r="D4" s="755">
        <v>0</v>
      </c>
      <c r="E4" s="755">
        <v>0</v>
      </c>
      <c r="F4" s="755">
        <v>0</v>
      </c>
      <c r="G4" s="755">
        <f>243*50</f>
        <v>12150</v>
      </c>
      <c r="H4" s="756">
        <v>0</v>
      </c>
      <c r="I4" s="756">
        <v>0</v>
      </c>
      <c r="J4" s="755" t="s">
        <v>281</v>
      </c>
      <c r="K4" s="755" t="s">
        <v>282</v>
      </c>
      <c r="L4" s="757" t="s">
        <v>283</v>
      </c>
    </row>
    <row r="5" spans="2:15" x14ac:dyDescent="0.25">
      <c r="B5" s="755" t="s">
        <v>284</v>
      </c>
      <c r="C5" s="755" t="s">
        <v>280</v>
      </c>
      <c r="D5" s="755">
        <v>0</v>
      </c>
      <c r="E5" s="755">
        <v>0</v>
      </c>
      <c r="F5" s="755">
        <v>0</v>
      </c>
      <c r="G5" s="755">
        <v>12150</v>
      </c>
      <c r="H5" s="755">
        <v>0</v>
      </c>
      <c r="I5" s="755">
        <v>0</v>
      </c>
      <c r="J5" s="755" t="s">
        <v>281</v>
      </c>
      <c r="K5" s="755" t="s">
        <v>282</v>
      </c>
      <c r="L5" s="757" t="s">
        <v>283</v>
      </c>
    </row>
    <row r="6" spans="2:15" x14ac:dyDescent="0.25">
      <c r="B6" s="755" t="s">
        <v>285</v>
      </c>
      <c r="C6" s="755" t="s">
        <v>280</v>
      </c>
      <c r="D6" s="755">
        <v>0</v>
      </c>
      <c r="E6" s="755">
        <v>0</v>
      </c>
      <c r="F6" s="755">
        <v>0</v>
      </c>
      <c r="G6" s="755">
        <f>241*50</f>
        <v>12050</v>
      </c>
      <c r="H6" s="756">
        <v>0</v>
      </c>
      <c r="I6" s="756">
        <v>0</v>
      </c>
      <c r="J6" s="755" t="s">
        <v>281</v>
      </c>
      <c r="K6" s="755" t="s">
        <v>282</v>
      </c>
      <c r="L6" s="757" t="s">
        <v>283</v>
      </c>
    </row>
    <row r="7" spans="2:15" x14ac:dyDescent="0.25">
      <c r="B7" s="755" t="s">
        <v>286</v>
      </c>
      <c r="C7" s="755" t="s">
        <v>280</v>
      </c>
      <c r="D7" s="755">
        <v>0</v>
      </c>
      <c r="E7" s="755">
        <v>0</v>
      </c>
      <c r="F7" s="755">
        <v>0</v>
      </c>
      <c r="G7" s="755">
        <f>243*50</f>
        <v>12150</v>
      </c>
      <c r="H7" s="755">
        <v>0</v>
      </c>
      <c r="I7" s="755">
        <v>0</v>
      </c>
      <c r="J7" s="755" t="s">
        <v>281</v>
      </c>
      <c r="K7" s="755" t="s">
        <v>282</v>
      </c>
      <c r="L7" s="757" t="s">
        <v>283</v>
      </c>
    </row>
    <row r="8" spans="2:15" x14ac:dyDescent="0.25">
      <c r="B8" s="758" t="s">
        <v>287</v>
      </c>
      <c r="C8" s="755" t="s">
        <v>280</v>
      </c>
      <c r="D8" s="755">
        <v>0</v>
      </c>
      <c r="E8" s="755">
        <v>0</v>
      </c>
      <c r="F8" s="756">
        <v>0</v>
      </c>
      <c r="G8" s="756">
        <v>7850</v>
      </c>
      <c r="H8" s="756">
        <v>0</v>
      </c>
      <c r="I8" s="756">
        <v>0</v>
      </c>
      <c r="J8" s="755" t="s">
        <v>281</v>
      </c>
      <c r="K8" s="755" t="s">
        <v>282</v>
      </c>
      <c r="L8" s="757" t="s">
        <v>288</v>
      </c>
    </row>
    <row r="9" spans="2:15" x14ac:dyDescent="0.25">
      <c r="B9" s="759" t="s">
        <v>289</v>
      </c>
      <c r="C9" s="760" t="s">
        <v>280</v>
      </c>
      <c r="D9" s="760">
        <v>0</v>
      </c>
      <c r="E9" s="760">
        <v>0</v>
      </c>
      <c r="F9" s="761">
        <v>9240</v>
      </c>
      <c r="G9" s="760">
        <v>0</v>
      </c>
      <c r="H9" s="760">
        <v>0</v>
      </c>
      <c r="I9" s="760">
        <v>0</v>
      </c>
      <c r="J9" s="760" t="s">
        <v>276</v>
      </c>
      <c r="K9" s="760" t="s">
        <v>290</v>
      </c>
      <c r="L9" s="762" t="s">
        <v>291</v>
      </c>
    </row>
    <row r="10" spans="2:15" x14ac:dyDescent="0.25">
      <c r="B10" s="759" t="s">
        <v>292</v>
      </c>
      <c r="C10" s="760" t="s">
        <v>280</v>
      </c>
      <c r="D10" s="760">
        <v>0</v>
      </c>
      <c r="E10" s="760">
        <v>0</v>
      </c>
      <c r="F10" s="760">
        <v>0</v>
      </c>
      <c r="G10" s="761">
        <v>0</v>
      </c>
      <c r="H10" s="761">
        <v>0</v>
      </c>
      <c r="I10" s="761">
        <v>0</v>
      </c>
      <c r="J10" s="760" t="s">
        <v>276</v>
      </c>
      <c r="K10" s="760" t="s">
        <v>290</v>
      </c>
      <c r="L10" s="762" t="s">
        <v>291</v>
      </c>
    </row>
    <row r="11" spans="2:15" x14ac:dyDescent="0.25">
      <c r="B11" s="759" t="s">
        <v>293</v>
      </c>
      <c r="C11" s="760" t="s">
        <v>280</v>
      </c>
      <c r="D11" s="760">
        <v>0</v>
      </c>
      <c r="E11" s="760">
        <v>0</v>
      </c>
      <c r="F11" s="760">
        <v>0</v>
      </c>
      <c r="G11" s="760">
        <v>0</v>
      </c>
      <c r="H11" s="760">
        <v>0</v>
      </c>
      <c r="I11" s="760">
        <v>0</v>
      </c>
      <c r="J11" s="760" t="s">
        <v>276</v>
      </c>
      <c r="K11" s="760" t="s">
        <v>290</v>
      </c>
      <c r="L11" s="762" t="s">
        <v>291</v>
      </c>
    </row>
    <row r="12" spans="2:15" x14ac:dyDescent="0.25">
      <c r="B12" s="759" t="s">
        <v>294</v>
      </c>
      <c r="C12" s="760" t="s">
        <v>295</v>
      </c>
      <c r="D12" s="761">
        <v>0</v>
      </c>
      <c r="E12" s="761">
        <v>7000</v>
      </c>
      <c r="F12" s="760">
        <v>0</v>
      </c>
      <c r="G12" s="761">
        <v>0</v>
      </c>
      <c r="H12" s="761">
        <v>0</v>
      </c>
      <c r="I12" s="761">
        <v>0</v>
      </c>
      <c r="J12" s="760" t="s">
        <v>276</v>
      </c>
      <c r="K12" s="760" t="s">
        <v>290</v>
      </c>
      <c r="L12" s="762" t="s">
        <v>296</v>
      </c>
      <c r="N12" s="1"/>
      <c r="O12" s="1"/>
    </row>
    <row r="13" spans="2:15" x14ac:dyDescent="0.25">
      <c r="B13" s="759" t="s">
        <v>297</v>
      </c>
      <c r="C13" s="760" t="s">
        <v>295</v>
      </c>
      <c r="D13" s="761">
        <v>0</v>
      </c>
      <c r="E13" s="761">
        <v>12500</v>
      </c>
      <c r="F13" s="760">
        <v>0</v>
      </c>
      <c r="G13" s="760">
        <v>0</v>
      </c>
      <c r="H13" s="760">
        <v>0</v>
      </c>
      <c r="I13" s="760">
        <v>0</v>
      </c>
      <c r="J13" s="760" t="s">
        <v>276</v>
      </c>
      <c r="K13" s="760" t="s">
        <v>290</v>
      </c>
      <c r="L13" s="762" t="s">
        <v>296</v>
      </c>
    </row>
    <row r="14" spans="2:15" x14ac:dyDescent="0.25">
      <c r="B14" s="759" t="s">
        <v>298</v>
      </c>
      <c r="C14" s="760" t="s">
        <v>295</v>
      </c>
      <c r="D14" s="761">
        <v>0</v>
      </c>
      <c r="E14" s="761">
        <v>7300</v>
      </c>
      <c r="F14" s="760">
        <v>0</v>
      </c>
      <c r="G14" s="761">
        <v>0</v>
      </c>
      <c r="H14" s="761">
        <v>0</v>
      </c>
      <c r="I14" s="761">
        <v>0</v>
      </c>
      <c r="J14" s="760" t="s">
        <v>276</v>
      </c>
      <c r="K14" s="760" t="s">
        <v>290</v>
      </c>
      <c r="L14" s="762" t="s">
        <v>296</v>
      </c>
    </row>
    <row r="15" spans="2:15" x14ac:dyDescent="0.25">
      <c r="B15" s="759" t="s">
        <v>299</v>
      </c>
      <c r="C15" s="760" t="s">
        <v>295</v>
      </c>
      <c r="D15" s="761">
        <v>0</v>
      </c>
      <c r="E15" s="761">
        <v>12500</v>
      </c>
      <c r="F15" s="760">
        <v>0</v>
      </c>
      <c r="G15" s="760">
        <v>0</v>
      </c>
      <c r="H15" s="760">
        <v>0</v>
      </c>
      <c r="I15" s="760">
        <v>0</v>
      </c>
      <c r="J15" s="760" t="s">
        <v>276</v>
      </c>
      <c r="K15" s="760" t="s">
        <v>290</v>
      </c>
      <c r="L15" s="762" t="s">
        <v>296</v>
      </c>
    </row>
    <row r="16" spans="2:15" x14ac:dyDescent="0.25">
      <c r="B16" s="763" t="s">
        <v>300</v>
      </c>
      <c r="C16" s="763" t="s">
        <v>280</v>
      </c>
      <c r="D16" s="764">
        <v>0</v>
      </c>
      <c r="E16" s="764">
        <v>0</v>
      </c>
      <c r="F16" s="764">
        <v>0</v>
      </c>
      <c r="G16" s="764">
        <v>0</v>
      </c>
      <c r="H16" s="763">
        <f>380*50</f>
        <v>19000</v>
      </c>
      <c r="I16" s="764">
        <v>0</v>
      </c>
      <c r="J16" s="764" t="s">
        <v>276</v>
      </c>
      <c r="K16" s="764" t="s">
        <v>282</v>
      </c>
      <c r="L16" s="763" t="s">
        <v>301</v>
      </c>
    </row>
    <row r="17" spans="2:19" x14ac:dyDescent="0.25">
      <c r="B17" s="763" t="s">
        <v>302</v>
      </c>
      <c r="C17" s="763" t="s">
        <v>280</v>
      </c>
      <c r="D17" s="764">
        <v>0</v>
      </c>
      <c r="E17" s="764">
        <v>0</v>
      </c>
      <c r="F17" s="764">
        <v>0</v>
      </c>
      <c r="G17" s="764">
        <v>0</v>
      </c>
      <c r="H17" s="763">
        <f t="shared" ref="H17:H45" si="0">380*50</f>
        <v>19000</v>
      </c>
      <c r="I17" s="764">
        <v>0</v>
      </c>
      <c r="J17" s="764" t="s">
        <v>276</v>
      </c>
      <c r="K17" s="764" t="s">
        <v>282</v>
      </c>
      <c r="L17" s="763" t="s">
        <v>301</v>
      </c>
    </row>
    <row r="18" spans="2:19" x14ac:dyDescent="0.25">
      <c r="B18" s="763" t="s">
        <v>303</v>
      </c>
      <c r="C18" s="763" t="s">
        <v>280</v>
      </c>
      <c r="D18" s="764">
        <v>0</v>
      </c>
      <c r="E18" s="764">
        <v>0</v>
      </c>
      <c r="F18" s="764">
        <v>0</v>
      </c>
      <c r="G18" s="764">
        <v>0</v>
      </c>
      <c r="H18" s="763">
        <f t="shared" si="0"/>
        <v>19000</v>
      </c>
      <c r="I18" s="764">
        <v>0</v>
      </c>
      <c r="J18" s="764" t="s">
        <v>276</v>
      </c>
      <c r="K18" s="764" t="s">
        <v>282</v>
      </c>
      <c r="L18" s="763" t="s">
        <v>301</v>
      </c>
      <c r="N18" s="1"/>
      <c r="O18" s="765"/>
      <c r="P18" s="1"/>
    </row>
    <row r="19" spans="2:19" x14ac:dyDescent="0.25">
      <c r="B19" s="763" t="s">
        <v>304</v>
      </c>
      <c r="C19" s="763" t="s">
        <v>280</v>
      </c>
      <c r="D19" s="764">
        <v>0</v>
      </c>
      <c r="E19" s="764">
        <v>0</v>
      </c>
      <c r="F19" s="764">
        <v>0</v>
      </c>
      <c r="G19" s="764">
        <v>0</v>
      </c>
      <c r="H19" s="763">
        <f t="shared" si="0"/>
        <v>19000</v>
      </c>
      <c r="I19" s="764">
        <v>0</v>
      </c>
      <c r="J19" s="764" t="s">
        <v>276</v>
      </c>
      <c r="K19" s="764" t="s">
        <v>282</v>
      </c>
      <c r="L19" s="763" t="s">
        <v>301</v>
      </c>
    </row>
    <row r="20" spans="2:19" x14ac:dyDescent="0.25">
      <c r="B20" s="763" t="s">
        <v>305</v>
      </c>
      <c r="C20" s="763" t="s">
        <v>280</v>
      </c>
      <c r="D20" s="764">
        <v>0</v>
      </c>
      <c r="E20" s="764">
        <v>0</v>
      </c>
      <c r="F20" s="764">
        <v>0</v>
      </c>
      <c r="G20" s="764">
        <v>0</v>
      </c>
      <c r="H20" s="763">
        <f t="shared" si="0"/>
        <v>19000</v>
      </c>
      <c r="I20" s="764">
        <v>0</v>
      </c>
      <c r="J20" s="764" t="s">
        <v>276</v>
      </c>
      <c r="K20" s="764" t="s">
        <v>282</v>
      </c>
      <c r="L20" s="763" t="s">
        <v>301</v>
      </c>
    </row>
    <row r="21" spans="2:19" x14ac:dyDescent="0.25">
      <c r="B21" s="763" t="s">
        <v>306</v>
      </c>
      <c r="C21" s="763" t="s">
        <v>280</v>
      </c>
      <c r="D21" s="764">
        <v>0</v>
      </c>
      <c r="E21" s="764">
        <v>0</v>
      </c>
      <c r="F21" s="764">
        <v>0</v>
      </c>
      <c r="G21" s="764">
        <v>0</v>
      </c>
      <c r="H21" s="763">
        <f t="shared" si="0"/>
        <v>19000</v>
      </c>
      <c r="I21" s="764">
        <v>0</v>
      </c>
      <c r="J21" s="764" t="s">
        <v>276</v>
      </c>
      <c r="K21" s="764" t="s">
        <v>282</v>
      </c>
      <c r="L21" s="763" t="s">
        <v>301</v>
      </c>
    </row>
    <row r="22" spans="2:19" x14ac:dyDescent="0.25">
      <c r="B22" s="763" t="s">
        <v>307</v>
      </c>
      <c r="C22" s="763" t="s">
        <v>280</v>
      </c>
      <c r="D22" s="764">
        <v>0</v>
      </c>
      <c r="E22" s="764">
        <v>0</v>
      </c>
      <c r="F22" s="764">
        <v>0</v>
      </c>
      <c r="G22" s="764">
        <v>0</v>
      </c>
      <c r="H22" s="763">
        <f t="shared" si="0"/>
        <v>19000</v>
      </c>
      <c r="I22" s="764">
        <v>0</v>
      </c>
      <c r="J22" s="764" t="s">
        <v>276</v>
      </c>
      <c r="K22" s="764" t="s">
        <v>282</v>
      </c>
      <c r="L22" s="763" t="s">
        <v>301</v>
      </c>
    </row>
    <row r="23" spans="2:19" x14ac:dyDescent="0.25">
      <c r="B23" s="763" t="s">
        <v>308</v>
      </c>
      <c r="C23" s="763" t="s">
        <v>280</v>
      </c>
      <c r="D23" s="764">
        <v>0</v>
      </c>
      <c r="E23" s="764">
        <v>0</v>
      </c>
      <c r="F23" s="764">
        <v>0</v>
      </c>
      <c r="G23" s="764">
        <v>0</v>
      </c>
      <c r="H23" s="763">
        <f t="shared" si="0"/>
        <v>19000</v>
      </c>
      <c r="I23" s="764">
        <v>0</v>
      </c>
      <c r="J23" s="764" t="s">
        <v>276</v>
      </c>
      <c r="K23" s="764" t="s">
        <v>282</v>
      </c>
      <c r="L23" s="763" t="s">
        <v>301</v>
      </c>
    </row>
    <row r="24" spans="2:19" x14ac:dyDescent="0.25">
      <c r="B24" s="763" t="s">
        <v>309</v>
      </c>
      <c r="C24" s="763" t="s">
        <v>280</v>
      </c>
      <c r="D24" s="764">
        <v>0</v>
      </c>
      <c r="E24" s="764">
        <v>0</v>
      </c>
      <c r="F24" s="764">
        <v>0</v>
      </c>
      <c r="G24" s="764">
        <v>0</v>
      </c>
      <c r="H24" s="763">
        <f t="shared" si="0"/>
        <v>19000</v>
      </c>
      <c r="I24" s="764">
        <v>0</v>
      </c>
      <c r="J24" s="764" t="s">
        <v>276</v>
      </c>
      <c r="K24" s="764" t="s">
        <v>282</v>
      </c>
      <c r="L24" s="763" t="s">
        <v>301</v>
      </c>
    </row>
    <row r="25" spans="2:19" x14ac:dyDescent="0.25">
      <c r="B25" s="763" t="s">
        <v>310</v>
      </c>
      <c r="C25" s="763" t="s">
        <v>280</v>
      </c>
      <c r="D25" s="764">
        <v>0</v>
      </c>
      <c r="E25" s="764">
        <v>0</v>
      </c>
      <c r="F25" s="764">
        <v>0</v>
      </c>
      <c r="G25" s="764">
        <v>0</v>
      </c>
      <c r="H25" s="763">
        <f t="shared" si="0"/>
        <v>19000</v>
      </c>
      <c r="I25" s="764">
        <v>0</v>
      </c>
      <c r="J25" s="764" t="s">
        <v>276</v>
      </c>
      <c r="K25" s="764" t="s">
        <v>282</v>
      </c>
      <c r="L25" s="763" t="s">
        <v>301</v>
      </c>
    </row>
    <row r="26" spans="2:19" x14ac:dyDescent="0.25">
      <c r="B26" s="763" t="s">
        <v>311</v>
      </c>
      <c r="C26" s="763" t="s">
        <v>280</v>
      </c>
      <c r="D26" s="764">
        <v>0</v>
      </c>
      <c r="E26" s="764">
        <v>0</v>
      </c>
      <c r="F26" s="764">
        <v>0</v>
      </c>
      <c r="G26" s="764">
        <v>0</v>
      </c>
      <c r="H26" s="763">
        <f t="shared" si="0"/>
        <v>19000</v>
      </c>
      <c r="I26" s="764">
        <v>0</v>
      </c>
      <c r="J26" s="764" t="s">
        <v>276</v>
      </c>
      <c r="K26" s="764" t="s">
        <v>282</v>
      </c>
      <c r="L26" s="763" t="s">
        <v>301</v>
      </c>
      <c r="S26" s="1"/>
    </row>
    <row r="27" spans="2:19" x14ac:dyDescent="0.25">
      <c r="B27" s="763" t="s">
        <v>312</v>
      </c>
      <c r="C27" s="763" t="s">
        <v>280</v>
      </c>
      <c r="D27" s="764">
        <v>0</v>
      </c>
      <c r="E27" s="764">
        <v>0</v>
      </c>
      <c r="F27" s="764">
        <v>0</v>
      </c>
      <c r="G27" s="764">
        <v>0</v>
      </c>
      <c r="H27" s="763">
        <f t="shared" si="0"/>
        <v>19000</v>
      </c>
      <c r="I27" s="764">
        <v>0</v>
      </c>
      <c r="J27" s="764" t="s">
        <v>276</v>
      </c>
      <c r="K27" s="764" t="s">
        <v>282</v>
      </c>
      <c r="L27" s="763" t="s">
        <v>301</v>
      </c>
      <c r="S27" s="1"/>
    </row>
    <row r="28" spans="2:19" x14ac:dyDescent="0.25">
      <c r="B28" s="766" t="s">
        <v>313</v>
      </c>
      <c r="C28" s="766" t="s">
        <v>280</v>
      </c>
      <c r="D28" s="767">
        <v>0</v>
      </c>
      <c r="E28" s="767">
        <v>0</v>
      </c>
      <c r="F28" s="767">
        <v>0</v>
      </c>
      <c r="G28" s="767">
        <v>0</v>
      </c>
      <c r="H28" s="767">
        <v>0</v>
      </c>
      <c r="I28" s="767">
        <v>16650</v>
      </c>
      <c r="J28" s="767" t="s">
        <v>276</v>
      </c>
      <c r="K28" s="767" t="s">
        <v>282</v>
      </c>
      <c r="L28" s="766" t="s">
        <v>314</v>
      </c>
      <c r="S28" s="1"/>
    </row>
    <row r="29" spans="2:19" x14ac:dyDescent="0.25">
      <c r="B29" s="766" t="s">
        <v>315</v>
      </c>
      <c r="C29" s="766" t="s">
        <v>280</v>
      </c>
      <c r="D29" s="767">
        <v>0</v>
      </c>
      <c r="E29" s="767">
        <v>0</v>
      </c>
      <c r="F29" s="767">
        <v>0</v>
      </c>
      <c r="G29" s="767">
        <v>0</v>
      </c>
      <c r="H29" s="767">
        <v>0</v>
      </c>
      <c r="I29" s="767">
        <v>16650</v>
      </c>
      <c r="J29" s="767" t="s">
        <v>276</v>
      </c>
      <c r="K29" s="767" t="s">
        <v>282</v>
      </c>
      <c r="L29" s="766" t="s">
        <v>314</v>
      </c>
      <c r="S29" s="1"/>
    </row>
    <row r="30" spans="2:19" x14ac:dyDescent="0.25">
      <c r="B30" s="766" t="s">
        <v>316</v>
      </c>
      <c r="C30" s="766" t="s">
        <v>280</v>
      </c>
      <c r="D30" s="767">
        <v>0</v>
      </c>
      <c r="E30" s="767">
        <v>0</v>
      </c>
      <c r="F30" s="767">
        <v>0</v>
      </c>
      <c r="G30" s="767">
        <v>0</v>
      </c>
      <c r="H30" s="767">
        <v>0</v>
      </c>
      <c r="I30" s="767">
        <v>16650</v>
      </c>
      <c r="J30" s="767" t="s">
        <v>276</v>
      </c>
      <c r="K30" s="767" t="s">
        <v>282</v>
      </c>
      <c r="L30" s="766" t="s">
        <v>314</v>
      </c>
    </row>
    <row r="31" spans="2:19" x14ac:dyDescent="0.25">
      <c r="B31" s="766" t="s">
        <v>317</v>
      </c>
      <c r="C31" s="766" t="s">
        <v>280</v>
      </c>
      <c r="D31" s="767">
        <v>0</v>
      </c>
      <c r="E31" s="767">
        <v>0</v>
      </c>
      <c r="F31" s="767">
        <v>0</v>
      </c>
      <c r="G31" s="767">
        <v>0</v>
      </c>
      <c r="H31" s="767">
        <v>0</v>
      </c>
      <c r="I31" s="767">
        <v>16700</v>
      </c>
      <c r="J31" s="767" t="s">
        <v>276</v>
      </c>
      <c r="K31" s="767" t="s">
        <v>282</v>
      </c>
      <c r="L31" s="766" t="s">
        <v>314</v>
      </c>
    </row>
    <row r="32" spans="2:19" x14ac:dyDescent="0.25">
      <c r="B32" s="766" t="s">
        <v>318</v>
      </c>
      <c r="C32" s="766" t="s">
        <v>280</v>
      </c>
      <c r="D32" s="767">
        <v>0</v>
      </c>
      <c r="E32" s="767">
        <v>0</v>
      </c>
      <c r="F32" s="767">
        <v>0</v>
      </c>
      <c r="G32" s="767">
        <v>0</v>
      </c>
      <c r="H32" s="767">
        <v>0</v>
      </c>
      <c r="I32" s="767">
        <v>16700</v>
      </c>
      <c r="J32" s="767" t="s">
        <v>276</v>
      </c>
      <c r="K32" s="767" t="s">
        <v>282</v>
      </c>
      <c r="L32" s="766" t="s">
        <v>314</v>
      </c>
    </row>
    <row r="33" spans="2:16" x14ac:dyDescent="0.25">
      <c r="B33" s="766" t="s">
        <v>319</v>
      </c>
      <c r="C33" s="766" t="s">
        <v>280</v>
      </c>
      <c r="D33" s="767">
        <v>0</v>
      </c>
      <c r="E33" s="767">
        <v>0</v>
      </c>
      <c r="F33" s="767">
        <v>0</v>
      </c>
      <c r="G33" s="767">
        <v>0</v>
      </c>
      <c r="H33" s="767">
        <v>0</v>
      </c>
      <c r="I33" s="767">
        <v>16700</v>
      </c>
      <c r="J33" s="767" t="s">
        <v>276</v>
      </c>
      <c r="K33" s="767" t="s">
        <v>282</v>
      </c>
      <c r="L33" s="766" t="s">
        <v>314</v>
      </c>
    </row>
    <row r="34" spans="2:16" x14ac:dyDescent="0.25">
      <c r="B34" s="768" t="s">
        <v>320</v>
      </c>
      <c r="C34" s="768" t="s">
        <v>280</v>
      </c>
      <c r="D34" s="769">
        <v>0</v>
      </c>
      <c r="E34" s="769">
        <v>0</v>
      </c>
      <c r="F34" s="769">
        <v>0</v>
      </c>
      <c r="G34" s="769">
        <v>0</v>
      </c>
      <c r="H34" s="768">
        <f t="shared" si="0"/>
        <v>19000</v>
      </c>
      <c r="I34" s="769">
        <v>0</v>
      </c>
      <c r="J34" s="769" t="s">
        <v>276</v>
      </c>
      <c r="K34" s="769" t="s">
        <v>321</v>
      </c>
      <c r="L34" s="768" t="s">
        <v>322</v>
      </c>
    </row>
    <row r="35" spans="2:16" x14ac:dyDescent="0.25">
      <c r="B35" s="768" t="s">
        <v>323</v>
      </c>
      <c r="C35" s="768" t="s">
        <v>280</v>
      </c>
      <c r="D35" s="769">
        <v>0</v>
      </c>
      <c r="E35" s="769">
        <v>0</v>
      </c>
      <c r="F35" s="769">
        <v>0</v>
      </c>
      <c r="G35" s="769">
        <v>0</v>
      </c>
      <c r="H35" s="768">
        <f t="shared" si="0"/>
        <v>19000</v>
      </c>
      <c r="I35" s="769">
        <v>0</v>
      </c>
      <c r="J35" s="769" t="s">
        <v>276</v>
      </c>
      <c r="K35" s="769" t="s">
        <v>321</v>
      </c>
      <c r="L35" s="768" t="s">
        <v>322</v>
      </c>
    </row>
    <row r="36" spans="2:16" x14ac:dyDescent="0.25">
      <c r="B36" s="768" t="s">
        <v>324</v>
      </c>
      <c r="C36" s="768" t="s">
        <v>280</v>
      </c>
      <c r="D36" s="769">
        <v>0</v>
      </c>
      <c r="E36" s="769">
        <v>0</v>
      </c>
      <c r="F36" s="769">
        <v>0</v>
      </c>
      <c r="G36" s="769">
        <v>0</v>
      </c>
      <c r="H36" s="768">
        <f t="shared" si="0"/>
        <v>19000</v>
      </c>
      <c r="I36" s="769">
        <v>0</v>
      </c>
      <c r="J36" s="769" t="s">
        <v>276</v>
      </c>
      <c r="K36" s="769" t="s">
        <v>321</v>
      </c>
      <c r="L36" s="768" t="s">
        <v>322</v>
      </c>
      <c r="O36" s="1"/>
      <c r="P36" s="1"/>
    </row>
    <row r="37" spans="2:16" x14ac:dyDescent="0.25">
      <c r="B37" s="768" t="s">
        <v>325</v>
      </c>
      <c r="C37" s="768" t="s">
        <v>280</v>
      </c>
      <c r="D37" s="769">
        <v>0</v>
      </c>
      <c r="E37" s="769">
        <v>0</v>
      </c>
      <c r="F37" s="769">
        <v>0</v>
      </c>
      <c r="G37" s="769">
        <v>0</v>
      </c>
      <c r="H37" s="768">
        <f t="shared" si="0"/>
        <v>19000</v>
      </c>
      <c r="I37" s="769">
        <v>0</v>
      </c>
      <c r="J37" s="769" t="s">
        <v>276</v>
      </c>
      <c r="K37" s="769" t="s">
        <v>321</v>
      </c>
      <c r="L37" s="768" t="s">
        <v>322</v>
      </c>
    </row>
    <row r="38" spans="2:16" x14ac:dyDescent="0.25">
      <c r="B38" s="768" t="s">
        <v>326</v>
      </c>
      <c r="C38" s="768" t="s">
        <v>280</v>
      </c>
      <c r="D38" s="769">
        <v>0</v>
      </c>
      <c r="E38" s="769">
        <v>0</v>
      </c>
      <c r="F38" s="769">
        <v>0</v>
      </c>
      <c r="G38" s="769">
        <v>0</v>
      </c>
      <c r="H38" s="768">
        <f t="shared" si="0"/>
        <v>19000</v>
      </c>
      <c r="I38" s="769">
        <v>0</v>
      </c>
      <c r="J38" s="769" t="s">
        <v>276</v>
      </c>
      <c r="K38" s="769" t="s">
        <v>321</v>
      </c>
      <c r="L38" s="768" t="s">
        <v>322</v>
      </c>
    </row>
    <row r="39" spans="2:16" x14ac:dyDescent="0.25">
      <c r="B39" s="768" t="s">
        <v>327</v>
      </c>
      <c r="C39" s="768" t="s">
        <v>280</v>
      </c>
      <c r="D39" s="769">
        <v>0</v>
      </c>
      <c r="E39" s="769">
        <v>0</v>
      </c>
      <c r="F39" s="769">
        <v>0</v>
      </c>
      <c r="G39" s="769">
        <v>0</v>
      </c>
      <c r="H39" s="768">
        <f t="shared" si="0"/>
        <v>19000</v>
      </c>
      <c r="I39" s="769">
        <v>0</v>
      </c>
      <c r="J39" s="769" t="s">
        <v>276</v>
      </c>
      <c r="K39" s="769" t="s">
        <v>321</v>
      </c>
      <c r="L39" s="768" t="s">
        <v>322</v>
      </c>
    </row>
    <row r="40" spans="2:16" x14ac:dyDescent="0.25">
      <c r="B40" s="768" t="s">
        <v>328</v>
      </c>
      <c r="C40" s="768" t="s">
        <v>280</v>
      </c>
      <c r="D40" s="769">
        <v>0</v>
      </c>
      <c r="E40" s="769">
        <v>0</v>
      </c>
      <c r="F40" s="769">
        <v>0</v>
      </c>
      <c r="G40" s="769">
        <v>0</v>
      </c>
      <c r="H40" s="768">
        <f t="shared" si="0"/>
        <v>19000</v>
      </c>
      <c r="I40" s="769">
        <v>0</v>
      </c>
      <c r="J40" s="769" t="s">
        <v>276</v>
      </c>
      <c r="K40" s="769" t="s">
        <v>321</v>
      </c>
      <c r="L40" s="768" t="s">
        <v>322</v>
      </c>
    </row>
    <row r="41" spans="2:16" x14ac:dyDescent="0.25">
      <c r="B41" s="768" t="s">
        <v>329</v>
      </c>
      <c r="C41" s="768" t="s">
        <v>280</v>
      </c>
      <c r="D41" s="769">
        <v>0</v>
      </c>
      <c r="E41" s="769">
        <v>0</v>
      </c>
      <c r="F41" s="769">
        <v>0</v>
      </c>
      <c r="G41" s="769">
        <v>0</v>
      </c>
      <c r="H41" s="768">
        <f t="shared" si="0"/>
        <v>19000</v>
      </c>
      <c r="I41" s="769">
        <v>0</v>
      </c>
      <c r="J41" s="769" t="s">
        <v>276</v>
      </c>
      <c r="K41" s="769" t="s">
        <v>321</v>
      </c>
      <c r="L41" s="768" t="s">
        <v>322</v>
      </c>
    </row>
    <row r="42" spans="2:16" x14ac:dyDescent="0.25">
      <c r="B42" s="768" t="s">
        <v>329</v>
      </c>
      <c r="C42" s="768" t="s">
        <v>280</v>
      </c>
      <c r="D42" s="769">
        <v>0</v>
      </c>
      <c r="E42" s="769">
        <v>0</v>
      </c>
      <c r="F42" s="769">
        <v>0</v>
      </c>
      <c r="G42" s="769">
        <v>0</v>
      </c>
      <c r="H42" s="768">
        <f t="shared" si="0"/>
        <v>19000</v>
      </c>
      <c r="I42" s="769">
        <v>0</v>
      </c>
      <c r="J42" s="769" t="s">
        <v>276</v>
      </c>
      <c r="K42" s="769" t="s">
        <v>321</v>
      </c>
      <c r="L42" s="768" t="s">
        <v>322</v>
      </c>
    </row>
    <row r="43" spans="2:16" x14ac:dyDescent="0.25">
      <c r="B43" s="768" t="s">
        <v>330</v>
      </c>
      <c r="C43" s="768" t="s">
        <v>280</v>
      </c>
      <c r="D43" s="769">
        <v>0</v>
      </c>
      <c r="E43" s="769">
        <v>0</v>
      </c>
      <c r="F43" s="769">
        <v>0</v>
      </c>
      <c r="G43" s="769">
        <v>0</v>
      </c>
      <c r="H43" s="768">
        <f t="shared" si="0"/>
        <v>19000</v>
      </c>
      <c r="I43" s="769">
        <v>0</v>
      </c>
      <c r="J43" s="769" t="s">
        <v>276</v>
      </c>
      <c r="K43" s="769" t="s">
        <v>321</v>
      </c>
      <c r="L43" s="768" t="s">
        <v>322</v>
      </c>
    </row>
    <row r="44" spans="2:16" x14ac:dyDescent="0.25">
      <c r="B44" s="768" t="s">
        <v>331</v>
      </c>
      <c r="C44" s="768" t="s">
        <v>280</v>
      </c>
      <c r="D44" s="769">
        <v>0</v>
      </c>
      <c r="E44" s="769">
        <v>0</v>
      </c>
      <c r="F44" s="769">
        <v>0</v>
      </c>
      <c r="G44" s="769">
        <v>0</v>
      </c>
      <c r="H44" s="768">
        <f t="shared" si="0"/>
        <v>19000</v>
      </c>
      <c r="I44" s="769">
        <v>0</v>
      </c>
      <c r="J44" s="769" t="s">
        <v>276</v>
      </c>
      <c r="K44" s="769" t="s">
        <v>321</v>
      </c>
      <c r="L44" s="768" t="s">
        <v>322</v>
      </c>
    </row>
    <row r="45" spans="2:16" x14ac:dyDescent="0.25">
      <c r="B45" s="768" t="s">
        <v>332</v>
      </c>
      <c r="C45" s="768" t="s">
        <v>280</v>
      </c>
      <c r="D45" s="769">
        <v>0</v>
      </c>
      <c r="E45" s="769">
        <v>0</v>
      </c>
      <c r="F45" s="769">
        <v>0</v>
      </c>
      <c r="G45" s="769">
        <v>0</v>
      </c>
      <c r="H45" s="768">
        <f t="shared" si="0"/>
        <v>19000</v>
      </c>
      <c r="I45" s="769">
        <v>0</v>
      </c>
      <c r="J45" s="769" t="s">
        <v>276</v>
      </c>
      <c r="K45" s="769" t="s">
        <v>321</v>
      </c>
      <c r="L45" s="768" t="s">
        <v>322</v>
      </c>
    </row>
    <row r="46" spans="2:16" ht="15.75" x14ac:dyDescent="0.25">
      <c r="B46" s="770" t="s">
        <v>333</v>
      </c>
      <c r="C46" s="771" t="s">
        <v>280</v>
      </c>
      <c r="D46" s="772">
        <v>0</v>
      </c>
      <c r="E46" s="772">
        <v>0</v>
      </c>
      <c r="F46" s="772">
        <v>0</v>
      </c>
      <c r="G46" s="771">
        <v>0</v>
      </c>
      <c r="H46" s="772">
        <v>0</v>
      </c>
      <c r="I46" s="772">
        <v>12500</v>
      </c>
      <c r="J46" s="771" t="s">
        <v>276</v>
      </c>
      <c r="K46" s="771" t="s">
        <v>290</v>
      </c>
      <c r="L46" s="773" t="s">
        <v>334</v>
      </c>
    </row>
    <row r="47" spans="2:16" ht="15.75" x14ac:dyDescent="0.25">
      <c r="B47" s="770" t="s">
        <v>335</v>
      </c>
      <c r="C47" s="771" t="s">
        <v>280</v>
      </c>
      <c r="D47" s="772">
        <v>0</v>
      </c>
      <c r="E47" s="772">
        <v>0</v>
      </c>
      <c r="F47" s="772">
        <v>0</v>
      </c>
      <c r="G47" s="771">
        <v>0</v>
      </c>
      <c r="H47" s="772">
        <v>0</v>
      </c>
      <c r="I47" s="772">
        <v>12500</v>
      </c>
      <c r="J47" s="771" t="s">
        <v>276</v>
      </c>
      <c r="K47" s="771" t="s">
        <v>290</v>
      </c>
      <c r="L47" s="773" t="s">
        <v>334</v>
      </c>
    </row>
    <row r="48" spans="2:16" x14ac:dyDescent="0.25">
      <c r="B48" s="763" t="s">
        <v>336</v>
      </c>
      <c r="C48" s="763" t="s">
        <v>280</v>
      </c>
      <c r="D48" s="764">
        <v>0</v>
      </c>
      <c r="E48" s="764">
        <v>0</v>
      </c>
      <c r="F48" s="764">
        <v>0</v>
      </c>
      <c r="G48" s="764">
        <v>0</v>
      </c>
      <c r="H48" s="763">
        <f t="shared" ref="H48:H58" si="1">380*50</f>
        <v>19000</v>
      </c>
      <c r="I48" s="764">
        <v>0</v>
      </c>
      <c r="J48" s="764" t="s">
        <v>281</v>
      </c>
      <c r="K48" s="764" t="s">
        <v>321</v>
      </c>
      <c r="L48" s="763" t="s">
        <v>337</v>
      </c>
    </row>
    <row r="49" spans="2:12" x14ac:dyDescent="0.25">
      <c r="B49" s="763" t="s">
        <v>338</v>
      </c>
      <c r="C49" s="763" t="s">
        <v>280</v>
      </c>
      <c r="D49" s="764">
        <v>0</v>
      </c>
      <c r="E49" s="764">
        <v>0</v>
      </c>
      <c r="F49" s="764">
        <v>0</v>
      </c>
      <c r="G49" s="764">
        <v>0</v>
      </c>
      <c r="H49" s="763">
        <f t="shared" si="1"/>
        <v>19000</v>
      </c>
      <c r="I49" s="764">
        <v>0</v>
      </c>
      <c r="J49" s="764" t="s">
        <v>281</v>
      </c>
      <c r="K49" s="764" t="s">
        <v>321</v>
      </c>
      <c r="L49" s="763" t="s">
        <v>337</v>
      </c>
    </row>
    <row r="50" spans="2:12" x14ac:dyDescent="0.25">
      <c r="B50" s="763" t="s">
        <v>339</v>
      </c>
      <c r="C50" s="763" t="s">
        <v>280</v>
      </c>
      <c r="D50" s="764">
        <v>0</v>
      </c>
      <c r="E50" s="764">
        <v>0</v>
      </c>
      <c r="F50" s="764">
        <v>0</v>
      </c>
      <c r="G50" s="764">
        <v>0</v>
      </c>
      <c r="H50" s="763">
        <f t="shared" si="1"/>
        <v>19000</v>
      </c>
      <c r="I50" s="764">
        <v>0</v>
      </c>
      <c r="J50" s="764" t="s">
        <v>281</v>
      </c>
      <c r="K50" s="764" t="s">
        <v>321</v>
      </c>
      <c r="L50" s="763" t="s">
        <v>337</v>
      </c>
    </row>
    <row r="51" spans="2:12" x14ac:dyDescent="0.25">
      <c r="B51" s="763" t="s">
        <v>340</v>
      </c>
      <c r="C51" s="763" t="s">
        <v>280</v>
      </c>
      <c r="D51" s="764">
        <v>0</v>
      </c>
      <c r="E51" s="764">
        <v>0</v>
      </c>
      <c r="F51" s="764">
        <v>0</v>
      </c>
      <c r="G51" s="764">
        <v>0</v>
      </c>
      <c r="H51" s="763">
        <f t="shared" si="1"/>
        <v>19000</v>
      </c>
      <c r="I51" s="764">
        <v>0</v>
      </c>
      <c r="J51" s="764" t="s">
        <v>281</v>
      </c>
      <c r="K51" s="764" t="s">
        <v>321</v>
      </c>
      <c r="L51" s="763" t="s">
        <v>337</v>
      </c>
    </row>
    <row r="52" spans="2:12" x14ac:dyDescent="0.25">
      <c r="B52" s="763" t="s">
        <v>341</v>
      </c>
      <c r="C52" s="763" t="s">
        <v>280</v>
      </c>
      <c r="D52" s="764">
        <v>0</v>
      </c>
      <c r="E52" s="764">
        <v>0</v>
      </c>
      <c r="F52" s="764">
        <v>0</v>
      </c>
      <c r="G52" s="764">
        <v>0</v>
      </c>
      <c r="H52" s="763">
        <f t="shared" si="1"/>
        <v>19000</v>
      </c>
      <c r="I52" s="764">
        <v>0</v>
      </c>
      <c r="J52" s="764" t="s">
        <v>281</v>
      </c>
      <c r="K52" s="764" t="s">
        <v>321</v>
      </c>
      <c r="L52" s="763" t="s">
        <v>337</v>
      </c>
    </row>
    <row r="53" spans="2:12" x14ac:dyDescent="0.25">
      <c r="B53" s="763" t="s">
        <v>342</v>
      </c>
      <c r="C53" s="763" t="s">
        <v>280</v>
      </c>
      <c r="D53" s="764">
        <v>0</v>
      </c>
      <c r="E53" s="764">
        <v>0</v>
      </c>
      <c r="F53" s="764">
        <v>0</v>
      </c>
      <c r="G53" s="764">
        <v>0</v>
      </c>
      <c r="H53" s="763">
        <f t="shared" si="1"/>
        <v>19000</v>
      </c>
      <c r="I53" s="764">
        <v>0</v>
      </c>
      <c r="J53" s="764" t="s">
        <v>281</v>
      </c>
      <c r="K53" s="764" t="s">
        <v>321</v>
      </c>
      <c r="L53" s="763" t="s">
        <v>337</v>
      </c>
    </row>
    <row r="54" spans="2:12" x14ac:dyDescent="0.25">
      <c r="B54" s="763" t="s">
        <v>343</v>
      </c>
      <c r="C54" s="763" t="s">
        <v>280</v>
      </c>
      <c r="D54" s="764">
        <v>0</v>
      </c>
      <c r="E54" s="764">
        <v>0</v>
      </c>
      <c r="F54" s="764">
        <v>0</v>
      </c>
      <c r="G54" s="764">
        <v>0</v>
      </c>
      <c r="H54" s="763">
        <f t="shared" si="1"/>
        <v>19000</v>
      </c>
      <c r="I54" s="764">
        <v>0</v>
      </c>
      <c r="J54" s="764" t="s">
        <v>281</v>
      </c>
      <c r="K54" s="764" t="s">
        <v>321</v>
      </c>
      <c r="L54" s="763" t="s">
        <v>337</v>
      </c>
    </row>
    <row r="55" spans="2:12" x14ac:dyDescent="0.25">
      <c r="B55" s="763" t="s">
        <v>344</v>
      </c>
      <c r="C55" s="763" t="s">
        <v>280</v>
      </c>
      <c r="D55" s="764">
        <v>0</v>
      </c>
      <c r="E55" s="764">
        <v>0</v>
      </c>
      <c r="F55" s="764">
        <v>0</v>
      </c>
      <c r="G55" s="764">
        <v>0</v>
      </c>
      <c r="H55" s="763">
        <f t="shared" si="1"/>
        <v>19000</v>
      </c>
      <c r="I55" s="764">
        <v>0</v>
      </c>
      <c r="J55" s="764" t="s">
        <v>281</v>
      </c>
      <c r="K55" s="764" t="s">
        <v>321</v>
      </c>
      <c r="L55" s="763" t="s">
        <v>337</v>
      </c>
    </row>
    <row r="56" spans="2:12" x14ac:dyDescent="0.25">
      <c r="B56" s="763" t="s">
        <v>345</v>
      </c>
      <c r="C56" s="763" t="s">
        <v>280</v>
      </c>
      <c r="D56" s="764">
        <v>0</v>
      </c>
      <c r="E56" s="764">
        <v>0</v>
      </c>
      <c r="F56" s="764">
        <v>0</v>
      </c>
      <c r="G56" s="764">
        <v>0</v>
      </c>
      <c r="H56" s="763">
        <f t="shared" si="1"/>
        <v>19000</v>
      </c>
      <c r="I56" s="764">
        <v>0</v>
      </c>
      <c r="J56" s="764" t="s">
        <v>281</v>
      </c>
      <c r="K56" s="764" t="s">
        <v>321</v>
      </c>
      <c r="L56" s="763" t="s">
        <v>337</v>
      </c>
    </row>
    <row r="57" spans="2:12" x14ac:dyDescent="0.25">
      <c r="B57" s="763" t="s">
        <v>346</v>
      </c>
      <c r="C57" s="763" t="s">
        <v>280</v>
      </c>
      <c r="D57" s="764">
        <v>0</v>
      </c>
      <c r="E57" s="764">
        <v>0</v>
      </c>
      <c r="F57" s="764">
        <v>0</v>
      </c>
      <c r="G57" s="764">
        <v>0</v>
      </c>
      <c r="H57" s="763">
        <f t="shared" si="1"/>
        <v>19000</v>
      </c>
      <c r="I57" s="764">
        <v>0</v>
      </c>
      <c r="J57" s="764" t="s">
        <v>281</v>
      </c>
      <c r="K57" s="764" t="s">
        <v>321</v>
      </c>
      <c r="L57" s="763" t="s">
        <v>337</v>
      </c>
    </row>
    <row r="58" spans="2:12" x14ac:dyDescent="0.25">
      <c r="B58" s="763" t="s">
        <v>347</v>
      </c>
      <c r="C58" s="763" t="s">
        <v>280</v>
      </c>
      <c r="D58" s="764">
        <v>0</v>
      </c>
      <c r="E58" s="764">
        <v>0</v>
      </c>
      <c r="F58" s="764">
        <v>0</v>
      </c>
      <c r="G58" s="764">
        <v>0</v>
      </c>
      <c r="H58" s="763">
        <f t="shared" si="1"/>
        <v>19000</v>
      </c>
      <c r="I58" s="764">
        <v>0</v>
      </c>
      <c r="J58" s="764" t="s">
        <v>281</v>
      </c>
      <c r="K58" s="764" t="s">
        <v>321</v>
      </c>
      <c r="L58" s="763" t="s">
        <v>337</v>
      </c>
    </row>
    <row r="59" spans="2:12" x14ac:dyDescent="0.25">
      <c r="B59" s="763" t="s">
        <v>24</v>
      </c>
      <c r="C59" s="763"/>
      <c r="D59" s="774">
        <f>SUM(D3:D33)</f>
        <v>11100</v>
      </c>
      <c r="E59" s="774">
        <v>39300</v>
      </c>
      <c r="F59" s="774">
        <v>9240</v>
      </c>
      <c r="G59" s="763">
        <f>SUM(G4:G33)</f>
        <v>56350</v>
      </c>
      <c r="H59" s="774">
        <f>SUM(H3:H58)</f>
        <v>665000</v>
      </c>
      <c r="I59" s="774">
        <v>125050</v>
      </c>
      <c r="J59" s="764"/>
      <c r="K59" s="764"/>
      <c r="L59" s="763"/>
    </row>
    <row r="61" spans="2:12" ht="45" x14ac:dyDescent="0.25">
      <c r="B61" s="775" t="s">
        <v>348</v>
      </c>
      <c r="C61" s="776" t="s">
        <v>349</v>
      </c>
      <c r="D61" s="777" t="s">
        <v>350</v>
      </c>
      <c r="E61" s="777" t="s">
        <v>351</v>
      </c>
      <c r="F61" s="777" t="s">
        <v>352</v>
      </c>
      <c r="G61" s="777" t="s">
        <v>353</v>
      </c>
    </row>
    <row r="62" spans="2:12" x14ac:dyDescent="0.25">
      <c r="B62" s="778" t="s">
        <v>290</v>
      </c>
      <c r="C62" s="779">
        <v>9240</v>
      </c>
      <c r="D62" s="780">
        <v>0</v>
      </c>
      <c r="E62" s="780">
        <v>39300</v>
      </c>
      <c r="F62" s="780">
        <v>25000</v>
      </c>
      <c r="G62" s="780">
        <v>11100</v>
      </c>
    </row>
    <row r="63" spans="2:12" x14ac:dyDescent="0.25">
      <c r="B63" s="778" t="s">
        <v>354</v>
      </c>
      <c r="C63" s="779">
        <v>56350</v>
      </c>
      <c r="D63" s="780">
        <v>665000</v>
      </c>
      <c r="E63" s="781">
        <v>0</v>
      </c>
      <c r="F63" s="780">
        <v>100050</v>
      </c>
      <c r="G63" s="781">
        <v>0</v>
      </c>
    </row>
    <row r="64" spans="2:12" x14ac:dyDescent="0.25">
      <c r="B64" s="782" t="s">
        <v>355</v>
      </c>
      <c r="C64" s="783">
        <f>SUM(C62:C63)</f>
        <v>65590</v>
      </c>
      <c r="D64" s="784">
        <f>SUM(D62:D63)</f>
        <v>665000</v>
      </c>
      <c r="E64" s="784">
        <f>SUM(E62:E63)</f>
        <v>39300</v>
      </c>
      <c r="F64" s="784">
        <f>SUM(F62:F63)</f>
        <v>125050</v>
      </c>
      <c r="G64" s="784">
        <f>SUM(G62:G63)</f>
        <v>11100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SUMMARY STOCK UPDATE</vt:lpstr>
      <vt:lpstr>ACT-RDT-PQ BY AMS</vt:lpstr>
      <vt:lpstr> Other A.M.Drugs BY AMS</vt:lpstr>
      <vt:lpstr>RAM-GF_PROC.-2021 REQ.ACT-RDT</vt:lpstr>
      <vt:lpstr>NDoH Outstanding Orders</vt:lpstr>
      <vt:lpstr>EXP.DATES For ACT-RDT-PQ</vt:lpstr>
      <vt:lpstr>Table of Summary</vt:lpstr>
      <vt:lpstr>LLIN SOH</vt:lpstr>
      <vt:lpstr>' Other A.M.Drugs BY AMS'!Print_Area</vt:lpstr>
      <vt:lpstr>'ACT-RDT-PQ BY AMS'!Print_Area</vt:lpstr>
      <vt:lpstr>'SUMMARY STOCK UPDATE'!Print_Area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Bozu</dc:creator>
  <cp:lastModifiedBy>Dianah Yando</cp:lastModifiedBy>
  <cp:lastPrinted>2026-03-09T23:52:49Z</cp:lastPrinted>
  <dcterms:created xsi:type="dcterms:W3CDTF">2019-02-21T23:24:40Z</dcterms:created>
  <dcterms:modified xsi:type="dcterms:W3CDTF">2026-03-20T06:01:17Z</dcterms:modified>
</cp:coreProperties>
</file>